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hidePivotFieldList="1" autoCompressPictures="0" defaultThemeVersion="124226"/>
  <xr:revisionPtr revIDLastSave="0" documentId="13_ncr:1_{9EE2FC3E-51A8-4820-8086-57F5C7D0AC8A}" xr6:coauthVersionLast="47" xr6:coauthVersionMax="47" xr10:uidLastSave="{00000000-0000-0000-0000-000000000000}"/>
  <bookViews>
    <workbookView xWindow="-108" yWindow="-108" windowWidth="23256" windowHeight="12576" tabRatio="949" firstSheet="1" activeTab="1" xr2:uid="{00000000-000D-0000-FFFF-FFFF00000000}"/>
  </bookViews>
  <sheets>
    <sheet name="ხარჯთაღრიცხვა" sheetId="3" state="hidden" r:id="rId1"/>
    <sheet name="სამუშაოს და მასალათა მოცულობა" sheetId="6" r:id="rId2"/>
    <sheet name="მოცულობა" sheetId="7" state="hidden" r:id="rId3"/>
  </sheets>
  <definedNames>
    <definedName name="_xlnm._FilterDatabase" localSheetId="1" hidden="1">'სამუშაოს და მასალათა მოცულობა'!#REF!</definedName>
    <definedName name="_xlnm._FilterDatabase" localSheetId="0" hidden="1">ხარჯთაღრიცხვა!#REF!</definedName>
    <definedName name="_xlnm.Print_Area" localSheetId="1">'სამუშაოს და მასალათა მოცულობა'!$A$1:$L$52</definedName>
    <definedName name="_xlnm.Print_Area" localSheetId="0">ხარჯთაღრიცხვა!$A$1:$K$43</definedName>
    <definedName name="_xlnm.Print_Titles" localSheetId="1">'სამუშაოს და მასალათა მოცულობა'!$3:$5</definedName>
    <definedName name="_xlnm.Print_Titles" localSheetId="0">ხარჯთაღრიცხვა!$10:$12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6" l="1"/>
  <c r="E25" i="6" s="1"/>
  <c r="E32" i="6"/>
  <c r="E15" i="6"/>
  <c r="E16" i="6" s="1"/>
  <c r="D20" i="3"/>
  <c r="E13" i="6"/>
  <c r="D17" i="6"/>
  <c r="D18" i="6"/>
  <c r="D19" i="6"/>
  <c r="D20" i="6"/>
  <c r="D23" i="6"/>
  <c r="E26" i="6"/>
  <c r="E27" i="6"/>
  <c r="E28" i="6"/>
  <c r="E29" i="6"/>
  <c r="E30" i="6"/>
  <c r="E33" i="6"/>
  <c r="E34" i="6"/>
  <c r="E35" i="6"/>
  <c r="D36" i="6"/>
  <c r="E36" i="6" s="1"/>
  <c r="E37" i="6"/>
  <c r="I16" i="3"/>
  <c r="J16" i="3"/>
  <c r="K16" i="3"/>
  <c r="J17" i="3"/>
  <c r="K17" i="3"/>
  <c r="I18" i="3"/>
  <c r="J18" i="3"/>
  <c r="K18" i="3"/>
  <c r="E20" i="3"/>
  <c r="F20" i="3"/>
  <c r="K20" i="3"/>
  <c r="I21" i="3"/>
  <c r="J21" i="3"/>
  <c r="K21" i="3"/>
  <c r="G22" i="3"/>
  <c r="H22" i="3"/>
  <c r="K22" i="3"/>
  <c r="D23" i="3"/>
  <c r="E23" i="3"/>
  <c r="F23" i="3"/>
  <c r="H23" i="3"/>
  <c r="I23" i="3"/>
  <c r="J23" i="3"/>
  <c r="K23" i="3"/>
  <c r="D24" i="3"/>
  <c r="F24" i="3"/>
  <c r="K24" i="3"/>
  <c r="D25" i="3"/>
  <c r="E25" i="3"/>
  <c r="F25" i="3"/>
  <c r="K25" i="3"/>
  <c r="D26" i="3"/>
  <c r="E26" i="3"/>
  <c r="F26" i="3"/>
  <c r="K26" i="3"/>
  <c r="F27" i="3"/>
  <c r="K27" i="3"/>
  <c r="E28" i="3"/>
  <c r="F28" i="3"/>
  <c r="G28" i="3"/>
  <c r="H28" i="3"/>
  <c r="K28" i="3"/>
  <c r="K31" i="3"/>
  <c r="F31" i="3"/>
  <c r="K32" i="3"/>
  <c r="K33" i="3"/>
  <c r="K34" i="3"/>
  <c r="K35" i="3"/>
  <c r="K36" i="3"/>
  <c r="K37" i="3"/>
  <c r="K38" i="3"/>
  <c r="K39" i="3"/>
  <c r="G12" i="7"/>
  <c r="F12" i="7"/>
  <c r="E12" i="7"/>
  <c r="D12" i="7"/>
  <c r="C12" i="7"/>
  <c r="D3" i="7"/>
  <c r="E3" i="7"/>
  <c r="C8" i="7"/>
  <c r="C7" i="7"/>
  <c r="H5" i="7"/>
  <c r="G5" i="7"/>
  <c r="F5" i="7"/>
  <c r="E5" i="7"/>
  <c r="D5" i="7"/>
  <c r="D4" i="7"/>
  <c r="C5" i="7"/>
  <c r="E4" i="7"/>
  <c r="C4" i="7"/>
  <c r="C3" i="7"/>
  <c r="J31" i="3"/>
  <c r="H31" i="3"/>
  <c r="E23" i="6" l="1"/>
  <c r="E20" i="6"/>
  <c r="E19" i="6"/>
  <c r="E18" i="6"/>
  <c r="E17" i="6"/>
  <c r="K40" i="6"/>
  <c r="G40" i="6" l="1"/>
  <c r="L41" i="6" s="1"/>
  <c r="I40" i="6"/>
  <c r="L40" i="6"/>
  <c r="L42" i="6" l="1"/>
  <c r="L43" i="6" s="1"/>
  <c r="L44" i="6" s="1"/>
  <c r="L45" i="6" l="1"/>
  <c r="L46" i="6" s="1"/>
  <c r="L47" i="6" l="1"/>
  <c r="L48" i="6" s="1"/>
</calcChain>
</file>

<file path=xl/sharedStrings.xml><?xml version="1.0" encoding="utf-8"?>
<sst xmlns="http://schemas.openxmlformats.org/spreadsheetml/2006/main" count="176" uniqueCount="69">
  <si>
    <t>##</t>
  </si>
  <si>
    <t>2</t>
  </si>
  <si>
    <t>განზ. ერთ.</t>
  </si>
  <si>
    <t>სულ</t>
  </si>
  <si>
    <t>მასალები</t>
  </si>
  <si>
    <t>ერთ. ღირებულ.</t>
  </si>
  <si>
    <t>ტრანსპორტი და მექანიზმი</t>
  </si>
  <si>
    <t>მუშაობა</t>
  </si>
  <si>
    <t>ჯამი:</t>
  </si>
  <si>
    <t>სულ:</t>
  </si>
  <si>
    <t>დასახელება</t>
  </si>
  <si>
    <t xml:space="preserve">შემკვეთი: </t>
  </si>
  <si>
    <t>მენარდე:</t>
  </si>
  <si>
    <t>სულ ლარი</t>
  </si>
  <si>
    <t>მოგება</t>
  </si>
  <si>
    <t>ზედნადები ხარჯები</t>
  </si>
  <si>
    <t>მენარდე: შპს "ბკ  ქონსთრაქშენი" ს/კ 404537809</t>
  </si>
  <si>
    <t xml:space="preserve">დღგ </t>
  </si>
  <si>
    <t>სამშენებლო სამუშაოები</t>
  </si>
  <si>
    <t>1</t>
  </si>
  <si>
    <t xml:space="preserve"> - </t>
  </si>
  <si>
    <t>სატრანსპორტო ხარჯები</t>
  </si>
  <si>
    <t>სულ დამატებითი სამუშაოები:</t>
  </si>
  <si>
    <t>მ3</t>
  </si>
  <si>
    <t>მანქ/დღე</t>
  </si>
  <si>
    <t>მ</t>
  </si>
  <si>
    <t>სხვა მასალები</t>
  </si>
  <si>
    <t>მ2</t>
  </si>
  <si>
    <t>ტნ</t>
  </si>
  <si>
    <t>ყალიბი</t>
  </si>
  <si>
    <t>სატკეპნის მუშაობა (ABG PUMA)</t>
  </si>
  <si>
    <t>შემკვეთი: შპს „გუდაური ლოჯი“   ს/კ 402084221</t>
  </si>
  <si>
    <t xml:space="preserve">                                                                                                                                   </t>
  </si>
  <si>
    <t>ბალასტი</t>
  </si>
  <si>
    <t>რეისი</t>
  </si>
  <si>
    <t>საყრდენი კედელი</t>
  </si>
  <si>
    <t>ობიექტი:  დუშეთის რაიონში სოფელ სეთურებში მდებარე  ტერიტორია</t>
  </si>
  <si>
    <t xml:space="preserve"> ექსკავატორის მუშაობა</t>
  </si>
  <si>
    <t>ავტოთვითმცლელის მუშაობა</t>
  </si>
  <si>
    <t>გრუნტის მოჭრა ექსკავატორით, მანქანაზე დათვირთვა გატანა</t>
  </si>
  <si>
    <t>გრუნტის უკუჩაყრა</t>
  </si>
  <si>
    <t>ბულდოზერის მუშაობა</t>
  </si>
  <si>
    <t>3</t>
  </si>
  <si>
    <t>4</t>
  </si>
  <si>
    <t>ბეტონი B25</t>
  </si>
  <si>
    <t>არმატურა A500C Ǿ8-10 მმ</t>
  </si>
  <si>
    <t>არმატურა A500C Ǿ12-32 მმ</t>
  </si>
  <si>
    <t>მონოლითური რკ. ბეტონის  საყრდენი კედლის მოწყობა</t>
  </si>
  <si>
    <t>ჰიდროიზოლაციის მოწყობა</t>
  </si>
  <si>
    <t>ფანერა</t>
  </si>
  <si>
    <t>ხის მასალა</t>
  </si>
  <si>
    <t>ლარი</t>
  </si>
  <si>
    <t>1.015</t>
  </si>
  <si>
    <t>შრომის დანახარჯები</t>
  </si>
  <si>
    <t>კ/სთ</t>
  </si>
  <si>
    <t>დამხმარე მექანიზმები</t>
  </si>
  <si>
    <t>6-14-14-17</t>
  </si>
  <si>
    <t>6-1-17</t>
  </si>
  <si>
    <t>მონოლითური რკ. ბეტონის  საყრდენი კედლის საძირკვლის ფილის მოწყობა</t>
  </si>
  <si>
    <t>მონოლითური რკ. ბეტონის საძირკვლის კოჭის მოწყობა</t>
  </si>
  <si>
    <t>კოეფ,</t>
  </si>
  <si>
    <t>რაოდენობა</t>
  </si>
  <si>
    <t>საყრდენი კედელის მოცულობა</t>
  </si>
  <si>
    <t>კედელი 1/1</t>
  </si>
  <si>
    <t>კონტრფორსი</t>
  </si>
  <si>
    <t>საძირკვლის ფილა</t>
  </si>
  <si>
    <t>საძირკვლის კოჭი</t>
  </si>
  <si>
    <t>6-15-1</t>
  </si>
  <si>
    <t xml:space="preserve">გუდაურის საყრდენი კედელი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</si>
</sst>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(&quot;GEL&quot;* #,##0.00_);_(&quot;GEL&quot;* \(#,##0.00\);_(&quot;GEL&quot;* &quot;-&quot;??_);_(@_)"/>
    <numFmt numFmtId="166" formatCode="_([$$-409]* #,##0.00_);_([$$-409]* \(#,##0.00\);_([$$-409]* &quot;-&quot;??_);_(@_)"/>
    <numFmt numFmtId="167" formatCode="_(* #,##0.0000_);_(* \(#,##0.0000\);_(* &quot;-&quot;??_);_(@_)"/>
    <numFmt numFmtId="168" formatCode="_-* #,##0.00\ _L_a_r_i_-;\-* #,##0.00\ _L_a_r_i_-;_-* &quot;-&quot;??\ _L_a_r_i_-;_-@_-"/>
    <numFmt numFmtId="169" formatCode="_-[$$-409]* #,##0.00_ ;_-[$$-409]* \-#,##0.00\ ;_-[$$-409]* &quot;-&quot;??_ ;_-@_ "/>
    <numFmt numFmtId="170" formatCode="0.0"/>
    <numFmt numFmtId="171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name val="AcadNusx"/>
    </font>
    <font>
      <b/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 Cyr"/>
      <family val="2"/>
      <charset val="204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Geo_Times"/>
      <family val="2"/>
    </font>
    <font>
      <b/>
      <sz val="11"/>
      <name val="Geo_Times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81">
    <xf numFmtId="166" fontId="0" fillId="0" borderId="0"/>
    <xf numFmtId="43" fontId="1" fillId="0" borderId="0" applyFon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0" fontId="1" fillId="0" borderId="0"/>
    <xf numFmtId="0" fontId="19" fillId="0" borderId="0"/>
    <xf numFmtId="0" fontId="1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44" fontId="1" fillId="0" borderId="0" applyFont="0" applyFill="0" applyBorder="0" applyAlignment="0" applyProtection="0"/>
  </cellStyleXfs>
  <cellXfs count="125">
    <xf numFmtId="166" fontId="0" fillId="0" borderId="0" xfId="0"/>
    <xf numFmtId="166" fontId="2" fillId="2" borderId="0" xfId="0" applyFont="1" applyFill="1" applyAlignment="1">
      <alignment vertical="center"/>
    </xf>
    <xf numFmtId="166" fontId="5" fillId="0" borderId="0" xfId="0" applyFont="1"/>
    <xf numFmtId="0" fontId="2" fillId="2" borderId="0" xfId="0" applyNumberFormat="1" applyFont="1" applyFill="1" applyAlignment="1">
      <alignment vertical="center"/>
    </xf>
    <xf numFmtId="166" fontId="4" fillId="0" borderId="0" xfId="0" applyFont="1" applyAlignment="1">
      <alignment vertical="center"/>
    </xf>
    <xf numFmtId="166" fontId="15" fillId="2" borderId="8" xfId="0" applyFont="1" applyFill="1" applyBorder="1" applyAlignment="1">
      <alignment horizontal="center" vertical="center" wrapText="1"/>
    </xf>
    <xf numFmtId="43" fontId="16" fillId="0" borderId="0" xfId="1" applyFont="1" applyAlignment="1">
      <alignment vertical="center"/>
    </xf>
    <xf numFmtId="43" fontId="16" fillId="0" borderId="0" xfId="1" applyFont="1" applyAlignment="1">
      <alignment horizontal="center" vertical="center"/>
    </xf>
    <xf numFmtId="166" fontId="4" fillId="0" borderId="0" xfId="0" applyFont="1" applyAlignment="1">
      <alignment horizontal="center" vertical="center"/>
    </xf>
    <xf numFmtId="166" fontId="2" fillId="2" borderId="0" xfId="0" applyFont="1" applyFill="1" applyAlignment="1">
      <alignment horizontal="center" vertical="center"/>
    </xf>
    <xf numFmtId="166" fontId="16" fillId="0" borderId="0" xfId="0" applyFont="1" applyAlignment="1">
      <alignment vertical="center"/>
    </xf>
    <xf numFmtId="43" fontId="9" fillId="3" borderId="10" xfId="1" applyFont="1" applyFill="1" applyBorder="1" applyAlignment="1">
      <alignment horizontal="center" vertical="center" wrapText="1"/>
    </xf>
    <xf numFmtId="43" fontId="9" fillId="2" borderId="4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6" fontId="6" fillId="2" borderId="0" xfId="0" applyFont="1" applyFill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9" fontId="9" fillId="2" borderId="18" xfId="0" applyNumberFormat="1" applyFont="1" applyFill="1" applyBorder="1" applyAlignment="1">
      <alignment horizontal="center" vertical="center" wrapText="1"/>
    </xf>
    <xf numFmtId="2" fontId="9" fillId="3" borderId="14" xfId="111" applyNumberFormat="1" applyFont="1" applyFill="1" applyBorder="1" applyAlignment="1">
      <alignment horizontal="center" vertical="center" wrapText="1"/>
    </xf>
    <xf numFmtId="166" fontId="15" fillId="2" borderId="22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6" fillId="2" borderId="17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right" vertical="center" wrapText="1"/>
    </xf>
    <xf numFmtId="166" fontId="9" fillId="4" borderId="14" xfId="0" applyFont="1" applyFill="1" applyBorder="1" applyAlignment="1">
      <alignment horizontal="center" vertical="center" wrapText="1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1" xfId="1" applyFont="1" applyBorder="1" applyAlignment="1">
      <alignment horizontal="center" vertical="center" wrapText="1"/>
    </xf>
    <xf numFmtId="166" fontId="21" fillId="2" borderId="0" xfId="0" applyFont="1" applyFill="1" applyAlignment="1">
      <alignment vertical="center"/>
    </xf>
    <xf numFmtId="43" fontId="6" fillId="0" borderId="1" xfId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 wrapText="1"/>
    </xf>
    <xf numFmtId="43" fontId="6" fillId="0" borderId="25" xfId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3" fontId="6" fillId="2" borderId="24" xfId="1" applyFont="1" applyFill="1" applyBorder="1" applyAlignment="1">
      <alignment horizontal="center" vertical="center" wrapText="1"/>
    </xf>
    <xf numFmtId="43" fontId="6" fillId="0" borderId="24" xfId="1" applyFont="1" applyBorder="1" applyAlignment="1">
      <alignment horizontal="center" vertical="center" wrapText="1"/>
    </xf>
    <xf numFmtId="43" fontId="6" fillId="0" borderId="24" xfId="1" applyFont="1" applyBorder="1" applyAlignment="1">
      <alignment horizontal="center" vertical="center"/>
    </xf>
    <xf numFmtId="43" fontId="9" fillId="4" borderId="10" xfId="1" applyFont="1" applyFill="1" applyBorder="1" applyAlignment="1">
      <alignment horizontal="center" vertical="center" wrapText="1"/>
    </xf>
    <xf numFmtId="43" fontId="9" fillId="4" borderId="15" xfId="1" applyFont="1" applyFill="1" applyBorder="1" applyAlignment="1">
      <alignment horizontal="center" vertical="center" wrapText="1"/>
    </xf>
    <xf numFmtId="43" fontId="9" fillId="4" borderId="16" xfId="1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center" vertical="center" wrapText="1"/>
    </xf>
    <xf numFmtId="43" fontId="9" fillId="3" borderId="16" xfId="1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49" fontId="6" fillId="3" borderId="24" xfId="0" applyNumberFormat="1" applyFont="1" applyFill="1" applyBorder="1" applyAlignment="1">
      <alignment horizontal="center" vertical="center" wrapText="1"/>
    </xf>
    <xf numFmtId="49" fontId="6" fillId="3" borderId="26" xfId="0" applyNumberFormat="1" applyFont="1" applyFill="1" applyBorder="1" applyAlignment="1">
      <alignment horizontal="center" vertical="center" wrapText="1"/>
    </xf>
    <xf numFmtId="49" fontId="6" fillId="3" borderId="25" xfId="0" applyNumberFormat="1" applyFont="1" applyFill="1" applyBorder="1" applyAlignment="1">
      <alignment horizontal="center" vertical="center" wrapText="1"/>
    </xf>
    <xf numFmtId="166" fontId="17" fillId="0" borderId="0" xfId="0" applyFont="1" applyAlignment="1">
      <alignment vertical="center"/>
    </xf>
    <xf numFmtId="49" fontId="23" fillId="0" borderId="24" xfId="0" applyNumberFormat="1" applyFont="1" applyBorder="1" applyAlignment="1">
      <alignment vertical="center" wrapText="1"/>
    </xf>
    <xf numFmtId="166" fontId="15" fillId="2" borderId="5" xfId="0" applyFont="1" applyFill="1" applyBorder="1" applyAlignment="1">
      <alignment horizontal="center" vertical="center" wrapText="1"/>
    </xf>
    <xf numFmtId="166" fontId="6" fillId="2" borderId="0" xfId="0" applyFont="1" applyFill="1" applyAlignment="1">
      <alignment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3" fontId="6" fillId="0" borderId="28" xfId="1" applyFont="1" applyBorder="1" applyAlignment="1">
      <alignment horizontal="center" vertical="center"/>
    </xf>
    <xf numFmtId="43" fontId="6" fillId="0" borderId="28" xfId="1" applyFont="1" applyBorder="1" applyAlignment="1">
      <alignment horizontal="center" vertical="center" wrapText="1"/>
    </xf>
    <xf numFmtId="43" fontId="6" fillId="2" borderId="28" xfId="1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/>
    </xf>
    <xf numFmtId="2" fontId="9" fillId="4" borderId="10" xfId="111" applyNumberFormat="1" applyFont="1" applyFill="1" applyBorder="1" applyAlignment="1">
      <alignment horizontal="right" vertical="center"/>
    </xf>
    <xf numFmtId="2" fontId="6" fillId="2" borderId="24" xfId="111" applyNumberFormat="1" applyFont="1" applyFill="1" applyBorder="1" applyAlignment="1">
      <alignment horizontal="right" vertical="center"/>
    </xf>
    <xf numFmtId="2" fontId="6" fillId="2" borderId="4" xfId="111" applyNumberFormat="1" applyFont="1" applyFill="1" applyBorder="1" applyAlignment="1">
      <alignment horizontal="right" vertical="center"/>
    </xf>
    <xf numFmtId="2" fontId="9" fillId="3" borderId="10" xfId="111" applyNumberFormat="1" applyFont="1" applyFill="1" applyBorder="1" applyAlignment="1">
      <alignment horizontal="right" vertical="center"/>
    </xf>
    <xf numFmtId="166" fontId="6" fillId="2" borderId="0" xfId="0" applyFont="1" applyFill="1" applyAlignment="1">
      <alignment horizontal="left" vertical="center"/>
    </xf>
    <xf numFmtId="166" fontId="2" fillId="2" borderId="0" xfId="0" applyFont="1" applyFill="1" applyAlignment="1">
      <alignment horizontal="left" vertical="center"/>
    </xf>
    <xf numFmtId="49" fontId="24" fillId="0" borderId="28" xfId="0" applyNumberFormat="1" applyFont="1" applyBorder="1" applyAlignment="1">
      <alignment vertical="center" wrapText="1"/>
    </xf>
    <xf numFmtId="166" fontId="6" fillId="0" borderId="2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vertical="center" wrapText="1"/>
    </xf>
    <xf numFmtId="166" fontId="5" fillId="0" borderId="28" xfId="0" applyFont="1" applyBorder="1" applyAlignment="1">
      <alignment wrapText="1"/>
    </xf>
    <xf numFmtId="166" fontId="5" fillId="0" borderId="28" xfId="0" applyFont="1" applyBorder="1"/>
    <xf numFmtId="43" fontId="5" fillId="0" borderId="28" xfId="1" applyFont="1" applyBorder="1" applyAlignment="1">
      <alignment vertical="center"/>
    </xf>
    <xf numFmtId="166" fontId="3" fillId="0" borderId="24" xfId="0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166" fontId="18" fillId="0" borderId="28" xfId="0" applyFont="1" applyBorder="1" applyAlignment="1">
      <alignment wrapText="1"/>
    </xf>
    <xf numFmtId="49" fontId="9" fillId="0" borderId="26" xfId="0" applyNumberFormat="1" applyFont="1" applyBorder="1" applyAlignment="1">
      <alignment horizontal="center" vertical="center" wrapText="1"/>
    </xf>
    <xf numFmtId="43" fontId="2" fillId="2" borderId="0" xfId="0" applyNumberFormat="1" applyFont="1" applyFill="1" applyAlignment="1">
      <alignment vertical="center"/>
    </xf>
    <xf numFmtId="2" fontId="15" fillId="2" borderId="2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Border="1"/>
    <xf numFmtId="0" fontId="4" fillId="0" borderId="23" xfId="0" applyNumberFormat="1" applyFont="1" applyBorder="1" applyAlignment="1">
      <alignment horizontal="center" vertical="center" wrapText="1"/>
    </xf>
    <xf numFmtId="166" fontId="5" fillId="0" borderId="28" xfId="0" applyFont="1" applyBorder="1" applyAlignment="1">
      <alignment horizontal="center" vertical="center"/>
    </xf>
    <xf numFmtId="170" fontId="4" fillId="0" borderId="23" xfId="0" applyNumberFormat="1" applyFont="1" applyBorder="1" applyAlignment="1">
      <alignment horizontal="center" vertical="center" wrapText="1"/>
    </xf>
    <xf numFmtId="170" fontId="6" fillId="0" borderId="24" xfId="1" applyNumberFormat="1" applyFont="1" applyBorder="1" applyAlignment="1">
      <alignment horizontal="center" vertical="center"/>
    </xf>
    <xf numFmtId="171" fontId="5" fillId="0" borderId="28" xfId="1" applyNumberFormat="1" applyFont="1" applyBorder="1" applyAlignment="1">
      <alignment vertical="center"/>
    </xf>
    <xf numFmtId="171" fontId="4" fillId="0" borderId="23" xfId="0" applyNumberFormat="1" applyFont="1" applyBorder="1" applyAlignment="1">
      <alignment horizontal="center" vertical="center" wrapText="1"/>
    </xf>
    <xf numFmtId="170" fontId="5" fillId="0" borderId="28" xfId="1" applyNumberFormat="1" applyFont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166" fontId="9" fillId="4" borderId="30" xfId="0" applyFont="1" applyFill="1" applyBorder="1" applyAlignment="1">
      <alignment horizontal="center" vertical="center" wrapText="1"/>
    </xf>
    <xf numFmtId="9" fontId="9" fillId="2" borderId="28" xfId="0" applyNumberFormat="1" applyFont="1" applyFill="1" applyBorder="1" applyAlignment="1">
      <alignment horizontal="center" vertical="center" wrapText="1"/>
    </xf>
    <xf numFmtId="2" fontId="9" fillId="3" borderId="31" xfId="111" applyNumberFormat="1" applyFont="1" applyFill="1" applyBorder="1" applyAlignment="1">
      <alignment horizontal="center" vertical="center" wrapText="1"/>
    </xf>
    <xf numFmtId="43" fontId="0" fillId="0" borderId="0" xfId="180" applyNumberFormat="1" applyFont="1"/>
    <xf numFmtId="43" fontId="0" fillId="0" borderId="0" xfId="0" applyNumberFormat="1"/>
    <xf numFmtId="43" fontId="25" fillId="0" borderId="0" xfId="0" applyNumberFormat="1" applyFont="1"/>
    <xf numFmtId="166" fontId="4" fillId="0" borderId="0" xfId="0" applyFont="1" applyBorder="1" applyAlignment="1">
      <alignment vertical="center"/>
    </xf>
    <xf numFmtId="166" fontId="26" fillId="2" borderId="0" xfId="0" applyFont="1" applyFill="1" applyAlignment="1">
      <alignment vertical="center"/>
    </xf>
    <xf numFmtId="43" fontId="27" fillId="2" borderId="0" xfId="0" applyNumberFormat="1" applyFont="1" applyFill="1" applyAlignment="1">
      <alignment vertical="center"/>
    </xf>
    <xf numFmtId="166" fontId="27" fillId="2" borderId="0" xfId="0" applyFont="1" applyFill="1" applyAlignment="1">
      <alignment vertical="center"/>
    </xf>
    <xf numFmtId="166" fontId="0" fillId="0" borderId="0" xfId="0" applyAlignment="1">
      <alignment vertical="center" wrapText="1"/>
    </xf>
    <xf numFmtId="166" fontId="15" fillId="2" borderId="27" xfId="0" applyFont="1" applyFill="1" applyBorder="1" applyAlignment="1">
      <alignment horizontal="center" vertical="center" wrapText="1"/>
    </xf>
    <xf numFmtId="166" fontId="15" fillId="2" borderId="14" xfId="0" applyFont="1" applyFill="1" applyBorder="1" applyAlignment="1">
      <alignment horizontal="center" vertical="center" wrapText="1"/>
    </xf>
    <xf numFmtId="166" fontId="15" fillId="2" borderId="15" xfId="0" applyFont="1" applyFill="1" applyBorder="1" applyAlignment="1">
      <alignment horizontal="center" vertical="center" wrapText="1"/>
    </xf>
    <xf numFmtId="43" fontId="15" fillId="2" borderId="6" xfId="1" applyFont="1" applyFill="1" applyBorder="1" applyAlignment="1">
      <alignment horizontal="center" vertical="center" wrapText="1"/>
    </xf>
    <xf numFmtId="43" fontId="15" fillId="2" borderId="13" xfId="1" applyFont="1" applyFill="1" applyBorder="1" applyAlignment="1">
      <alignment horizontal="center" vertical="center" wrapText="1"/>
    </xf>
    <xf numFmtId="43" fontId="15" fillId="2" borderId="9" xfId="1" applyFont="1" applyFill="1" applyBorder="1" applyAlignment="1">
      <alignment horizontal="center" vertical="center" wrapText="1"/>
    </xf>
    <xf numFmtId="166" fontId="15" fillId="2" borderId="5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12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center" vertical="center" wrapText="1"/>
    </xf>
    <xf numFmtId="166" fontId="15" fillId="2" borderId="28" xfId="0" applyFont="1" applyFill="1" applyBorder="1" applyAlignment="1">
      <alignment horizontal="center" vertical="center" wrapText="1"/>
    </xf>
    <xf numFmtId="166" fontId="15" fillId="2" borderId="30" xfId="0" applyFont="1" applyFill="1" applyBorder="1" applyAlignment="1">
      <alignment horizontal="center" vertical="center" wrapText="1"/>
    </xf>
    <xf numFmtId="166" fontId="15" fillId="2" borderId="34" xfId="0" applyFont="1" applyFill="1" applyBorder="1" applyAlignment="1">
      <alignment horizontal="center" vertical="center" wrapText="1"/>
    </xf>
    <xf numFmtId="166" fontId="15" fillId="2" borderId="33" xfId="0" applyFont="1" applyFill="1" applyBorder="1" applyAlignment="1">
      <alignment horizontal="center" vertical="center" wrapText="1"/>
    </xf>
    <xf numFmtId="166" fontId="15" fillId="2" borderId="35" xfId="0" applyFont="1" applyFill="1" applyBorder="1" applyAlignment="1">
      <alignment horizontal="center" vertical="center" wrapText="1"/>
    </xf>
    <xf numFmtId="2" fontId="15" fillId="2" borderId="36" xfId="0" applyNumberFormat="1" applyFont="1" applyFill="1" applyBorder="1" applyAlignment="1">
      <alignment horizontal="center" vertical="center" wrapText="1"/>
    </xf>
    <xf numFmtId="166" fontId="28" fillId="5" borderId="0" xfId="0" applyFont="1" applyFill="1" applyAlignment="1">
      <alignment horizontal="center" vertical="center"/>
    </xf>
  </cellXfs>
  <cellStyles count="181">
    <cellStyle name="Comma" xfId="1" builtinId="3"/>
    <cellStyle name="Comma 2" xfId="112" xr:uid="{00000000-0005-0000-0000-000001000000}"/>
    <cellStyle name="Comma 2 2" xfId="113" xr:uid="{00000000-0005-0000-0000-000002000000}"/>
    <cellStyle name="Comma 2 2 2" xfId="114" xr:uid="{00000000-0005-0000-0000-000003000000}"/>
    <cellStyle name="Comma 2 2 2 2" xfId="115" xr:uid="{00000000-0005-0000-0000-000004000000}"/>
    <cellStyle name="Comma 2 2 2 3" xfId="116" xr:uid="{00000000-0005-0000-0000-000005000000}"/>
    <cellStyle name="Comma 2 2 2 3 2" xfId="117" xr:uid="{00000000-0005-0000-0000-000006000000}"/>
    <cellStyle name="Comma 2 2 2 3 2 2" xfId="118" xr:uid="{00000000-0005-0000-0000-000007000000}"/>
    <cellStyle name="Comma 2 2 3" xfId="119" xr:uid="{00000000-0005-0000-0000-000008000000}"/>
    <cellStyle name="Comma 2 2 3 2" xfId="120" xr:uid="{00000000-0005-0000-0000-000009000000}"/>
    <cellStyle name="Comma 2 2 3 2 2" xfId="121" xr:uid="{00000000-0005-0000-0000-00000A000000}"/>
    <cellStyle name="Comma 2 3" xfId="122" xr:uid="{00000000-0005-0000-0000-00000B000000}"/>
    <cellStyle name="Comma 2 3 2" xfId="123" xr:uid="{00000000-0005-0000-0000-00000C000000}"/>
    <cellStyle name="Comma 2 3 3" xfId="124" xr:uid="{00000000-0005-0000-0000-00000D000000}"/>
    <cellStyle name="Comma 2 3 3 2" xfId="125" xr:uid="{00000000-0005-0000-0000-00000E000000}"/>
    <cellStyle name="Comma 2 3 3 2 2" xfId="126" xr:uid="{00000000-0005-0000-0000-00000F000000}"/>
    <cellStyle name="Comma 2 4" xfId="127" xr:uid="{00000000-0005-0000-0000-000010000000}"/>
    <cellStyle name="Comma 2 4 2" xfId="128" xr:uid="{00000000-0005-0000-0000-000011000000}"/>
    <cellStyle name="Comma 2 4 3" xfId="129" xr:uid="{00000000-0005-0000-0000-000012000000}"/>
    <cellStyle name="Comma 2 4 3 2" xfId="130" xr:uid="{00000000-0005-0000-0000-000013000000}"/>
    <cellStyle name="Comma 2 4 3 2 2" xfId="131" xr:uid="{00000000-0005-0000-0000-000014000000}"/>
    <cellStyle name="Comma 2 4 4" xfId="132" xr:uid="{00000000-0005-0000-0000-000015000000}"/>
    <cellStyle name="Comma 2 4 4 2" xfId="133" xr:uid="{00000000-0005-0000-0000-000016000000}"/>
    <cellStyle name="Comma 2 4 4 2 2" xfId="134" xr:uid="{00000000-0005-0000-0000-000017000000}"/>
    <cellStyle name="Comma 2 4 5" xfId="135" xr:uid="{00000000-0005-0000-0000-000018000000}"/>
    <cellStyle name="Comma 2 4 5 2" xfId="136" xr:uid="{00000000-0005-0000-0000-000019000000}"/>
    <cellStyle name="Comma 2 4 5 2 2" xfId="137" xr:uid="{00000000-0005-0000-0000-00001A000000}"/>
    <cellStyle name="Comma 2 5" xfId="138" xr:uid="{00000000-0005-0000-0000-00001B000000}"/>
    <cellStyle name="Comma 3" xfId="139" xr:uid="{00000000-0005-0000-0000-00001C000000}"/>
    <cellStyle name="Comma 4" xfId="104" xr:uid="{00000000-0005-0000-0000-00001D000000}"/>
    <cellStyle name="Comma 5" xfId="140" xr:uid="{00000000-0005-0000-0000-00001E000000}"/>
    <cellStyle name="Comma 6" xfId="175" xr:uid="{00000000-0005-0000-0000-00001F000000}"/>
    <cellStyle name="Currency" xfId="180" builtinId="4"/>
    <cellStyle name="Currency 2" xfId="141" xr:uid="{00000000-0005-0000-0000-000021000000}"/>
    <cellStyle name="Currency 2 2" xfId="142" xr:uid="{00000000-0005-0000-0000-000022000000}"/>
    <cellStyle name="Currency 2 3" xfId="143" xr:uid="{00000000-0005-0000-0000-000023000000}"/>
    <cellStyle name="Currency 3" xfId="144" xr:uid="{00000000-0005-0000-0000-000024000000}"/>
    <cellStyle name="Currency 4" xfId="145" xr:uid="{00000000-0005-0000-0000-000025000000}"/>
    <cellStyle name="Currency 5" xfId="146" xr:uid="{00000000-0005-0000-0000-000026000000}"/>
    <cellStyle name="Currency 6" xfId="147" xr:uid="{00000000-0005-0000-0000-000027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5" builtinId="8" hidden="1"/>
    <cellStyle name="Hyperlink" xfId="107" builtinId="8" hidden="1"/>
    <cellStyle name="Hyperlink" xfId="109" builtinId="8" hidden="1"/>
    <cellStyle name="Hyperlink 2" xfId="148" xr:uid="{00000000-0005-0000-0000-000094000000}"/>
    <cellStyle name="Normal" xfId="0" builtinId="0"/>
    <cellStyle name="Normal 10" xfId="149" xr:uid="{00000000-0005-0000-0000-000096000000}"/>
    <cellStyle name="Normal 11" xfId="173" xr:uid="{00000000-0005-0000-0000-000097000000}"/>
    <cellStyle name="Normal 11 2" xfId="179" xr:uid="{00000000-0005-0000-0000-000098000000}"/>
    <cellStyle name="Normal 12" xfId="176" xr:uid="{00000000-0005-0000-0000-000099000000}"/>
    <cellStyle name="Normal 13" xfId="177" xr:uid="{00000000-0005-0000-0000-00009A000000}"/>
    <cellStyle name="Normal 14_anakia II etapi.xls sm. defeqturi" xfId="150" xr:uid="{00000000-0005-0000-0000-00009B000000}"/>
    <cellStyle name="Normal 2" xfId="111" xr:uid="{00000000-0005-0000-0000-00009C000000}"/>
    <cellStyle name="Normal 2 2" xfId="151" xr:uid="{00000000-0005-0000-0000-00009D000000}"/>
    <cellStyle name="Normal 2 2 2" xfId="152" xr:uid="{00000000-0005-0000-0000-00009E000000}"/>
    <cellStyle name="Normal 2 2 2 2" xfId="153" xr:uid="{00000000-0005-0000-0000-00009F000000}"/>
    <cellStyle name="Normal 2 2 3" xfId="154" xr:uid="{00000000-0005-0000-0000-0000A0000000}"/>
    <cellStyle name="Normal 2 2 3 2" xfId="155" xr:uid="{00000000-0005-0000-0000-0000A1000000}"/>
    <cellStyle name="Normal 2 2 3 2 2" xfId="156" xr:uid="{00000000-0005-0000-0000-0000A2000000}"/>
    <cellStyle name="Normal 2 2_MCXETA yazarma- Copy" xfId="157" xr:uid="{00000000-0005-0000-0000-0000A3000000}"/>
    <cellStyle name="Normal 2 3 4" xfId="170" xr:uid="{00000000-0005-0000-0000-0000A4000000}"/>
    <cellStyle name="Normal 2_---SUL--- GORI-HOSPITALI-BOLO" xfId="158" xr:uid="{00000000-0005-0000-0000-0000A5000000}"/>
    <cellStyle name="Normal 24" xfId="168" xr:uid="{00000000-0005-0000-0000-0000A6000000}"/>
    <cellStyle name="Normal 3" xfId="159" xr:uid="{00000000-0005-0000-0000-0000A7000000}"/>
    <cellStyle name="Normal 3 2" xfId="160" xr:uid="{00000000-0005-0000-0000-0000A8000000}"/>
    <cellStyle name="Normal 30" xfId="161" xr:uid="{00000000-0005-0000-0000-0000A9000000}"/>
    <cellStyle name="Normal 4" xfId="162" xr:uid="{00000000-0005-0000-0000-0000AA000000}"/>
    <cellStyle name="Normal 5" xfId="163" xr:uid="{00000000-0005-0000-0000-0000AB000000}"/>
    <cellStyle name="Normal 6" xfId="164" xr:uid="{00000000-0005-0000-0000-0000AC000000}"/>
    <cellStyle name="Normal 6 2" xfId="165" xr:uid="{00000000-0005-0000-0000-0000AD000000}"/>
    <cellStyle name="Normal 6 3" xfId="171" xr:uid="{00000000-0005-0000-0000-0000AE000000}"/>
    <cellStyle name="Normal 66" xfId="167" xr:uid="{00000000-0005-0000-0000-0000AF000000}"/>
    <cellStyle name="Normal 7" xfId="172" xr:uid="{00000000-0005-0000-0000-0000B0000000}"/>
    <cellStyle name="Normal 8" xfId="174" xr:uid="{00000000-0005-0000-0000-0000B1000000}"/>
    <cellStyle name="Normal 9" xfId="178" xr:uid="{00000000-0005-0000-0000-0000B2000000}"/>
    <cellStyle name="Percent 2" xfId="166" xr:uid="{00000000-0005-0000-0000-0000B4000000}"/>
    <cellStyle name="Обычный 2" xfId="169" xr:uid="{00000000-0005-0000-0000-0000B5000000}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opLeftCell="A4" zoomScaleNormal="100" zoomScalePageLayoutView="125" workbookViewId="0">
      <selection activeCell="K16" sqref="K16"/>
    </sheetView>
  </sheetViews>
  <sheetFormatPr defaultColWidth="8.88671875" defaultRowHeight="10.199999999999999" x14ac:dyDescent="0.3"/>
  <cols>
    <col min="1" max="1" width="6.88671875" style="1" customWidth="1"/>
    <col min="2" max="2" width="47.88671875" style="66" customWidth="1"/>
    <col min="3" max="3" width="10.5546875" style="9" bestFit="1" customWidth="1"/>
    <col min="4" max="4" width="12.5546875" style="1" customWidth="1"/>
    <col min="5" max="5" width="11.5546875" style="1" customWidth="1"/>
    <col min="6" max="6" width="12.44140625" style="1" customWidth="1"/>
    <col min="7" max="7" width="11.109375" style="1" bestFit="1" customWidth="1"/>
    <col min="8" max="8" width="12.44140625" style="1" bestFit="1" customWidth="1"/>
    <col min="9" max="9" width="10.6640625" style="1" bestFit="1" customWidth="1"/>
    <col min="10" max="10" width="13.109375" style="1" customWidth="1"/>
    <col min="11" max="11" width="13.33203125" style="26" customWidth="1"/>
    <col min="12" max="12" width="9.5546875" style="1" bestFit="1" customWidth="1"/>
    <col min="13" max="16384" width="8.88671875" style="1"/>
  </cols>
  <sheetData>
    <row r="1" spans="1:11" s="2" customFormat="1" ht="14.4" x14ac:dyDescent="0.25">
      <c r="A1" s="10" t="s">
        <v>31</v>
      </c>
      <c r="B1" s="6"/>
      <c r="C1" s="7"/>
      <c r="D1" s="6"/>
      <c r="E1" s="6"/>
      <c r="F1" s="6"/>
      <c r="G1" s="6"/>
      <c r="H1" s="6"/>
      <c r="I1" s="6"/>
      <c r="J1" s="6"/>
      <c r="K1" s="6"/>
    </row>
    <row r="2" spans="1:11" s="2" customFormat="1" ht="14.4" x14ac:dyDescent="0.25">
      <c r="A2" s="10" t="s">
        <v>16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s="2" customFormat="1" ht="30" customHeight="1" x14ac:dyDescent="0.25">
      <c r="A3" s="100" t="s">
        <v>36</v>
      </c>
      <c r="B3" s="100"/>
      <c r="C3" s="100"/>
      <c r="D3" s="6"/>
      <c r="E3" s="6"/>
      <c r="F3" s="6"/>
      <c r="G3" s="6"/>
      <c r="H3" s="6"/>
      <c r="I3" s="6"/>
      <c r="J3" s="6"/>
      <c r="K3" s="6"/>
    </row>
    <row r="4" spans="1:11" s="2" customFormat="1" ht="14.4" x14ac:dyDescent="0.25">
      <c r="A4" s="10"/>
      <c r="B4" s="6"/>
      <c r="C4" s="7"/>
      <c r="D4" s="6"/>
      <c r="E4" s="6"/>
      <c r="F4" s="6"/>
      <c r="G4" s="6"/>
      <c r="H4" s="6"/>
      <c r="I4" s="6"/>
      <c r="J4" s="6"/>
      <c r="K4" s="6"/>
    </row>
    <row r="5" spans="1:11" s="2" customFormat="1" ht="14.4" x14ac:dyDescent="0.25">
      <c r="A5" s="10"/>
      <c r="B5" s="6"/>
      <c r="C5" s="7"/>
      <c r="D5" s="6"/>
      <c r="E5" s="6"/>
      <c r="F5" s="6"/>
      <c r="G5" s="6"/>
      <c r="H5" s="6"/>
      <c r="I5" s="6"/>
      <c r="J5" s="6"/>
      <c r="K5" s="6"/>
    </row>
    <row r="6" spans="1:11" s="2" customFormat="1" ht="14.4" x14ac:dyDescent="0.25">
      <c r="A6" s="10" t="s">
        <v>35</v>
      </c>
      <c r="B6" s="6"/>
      <c r="C6" s="7"/>
      <c r="D6" s="6"/>
      <c r="E6" s="6"/>
      <c r="F6" s="6"/>
      <c r="G6" s="6"/>
      <c r="H6" s="6"/>
      <c r="I6" s="6"/>
      <c r="J6" s="6"/>
      <c r="K6" s="6"/>
    </row>
    <row r="7" spans="1:11" s="2" customFormat="1" ht="16.2" x14ac:dyDescent="0.25">
      <c r="A7" s="46"/>
      <c r="B7" s="6"/>
      <c r="C7" s="7"/>
      <c r="D7" s="6"/>
      <c r="E7" s="6"/>
      <c r="F7" s="6"/>
      <c r="G7" s="6"/>
      <c r="H7" s="6"/>
      <c r="I7" s="6"/>
      <c r="J7" s="6"/>
      <c r="K7" s="6"/>
    </row>
    <row r="8" spans="1:11" s="2" customFormat="1" ht="13.8" x14ac:dyDescent="0.25">
      <c r="A8" s="4"/>
      <c r="B8" s="4"/>
      <c r="C8" s="8"/>
      <c r="D8" s="4"/>
      <c r="E8" s="4"/>
      <c r="F8" s="4"/>
      <c r="G8" s="4"/>
      <c r="H8" s="4"/>
      <c r="I8" s="4"/>
      <c r="J8" s="4"/>
      <c r="K8" s="4"/>
    </row>
    <row r="9" spans="1:11" s="2" customFormat="1" ht="14.4" thickBot="1" x14ac:dyDescent="0.3">
      <c r="A9" s="4"/>
      <c r="B9" s="4"/>
      <c r="C9" s="8"/>
      <c r="D9" s="4"/>
      <c r="E9" s="4"/>
      <c r="F9" s="4"/>
      <c r="G9" s="4"/>
      <c r="H9" s="4"/>
      <c r="I9" s="4"/>
      <c r="J9" s="4"/>
      <c r="K9" s="4"/>
    </row>
    <row r="10" spans="1:11" ht="24.75" customHeight="1" thickBot="1" x14ac:dyDescent="0.35">
      <c r="A10" s="108" t="s">
        <v>0</v>
      </c>
      <c r="B10" s="111" t="s">
        <v>10</v>
      </c>
      <c r="C10" s="114" t="s">
        <v>2</v>
      </c>
      <c r="D10" s="101" t="s">
        <v>3</v>
      </c>
      <c r="E10" s="102"/>
      <c r="F10" s="102"/>
      <c r="G10" s="102"/>
      <c r="H10" s="102"/>
      <c r="I10" s="102"/>
      <c r="J10" s="103"/>
      <c r="K10" s="104" t="s">
        <v>13</v>
      </c>
    </row>
    <row r="11" spans="1:11" ht="27" customHeight="1" x14ac:dyDescent="0.3">
      <c r="A11" s="109"/>
      <c r="B11" s="112"/>
      <c r="C11" s="115"/>
      <c r="D11" s="48"/>
      <c r="E11" s="107" t="s">
        <v>4</v>
      </c>
      <c r="F11" s="107"/>
      <c r="G11" s="107" t="s">
        <v>7</v>
      </c>
      <c r="H11" s="107"/>
      <c r="I11" s="107" t="s">
        <v>6</v>
      </c>
      <c r="J11" s="107"/>
      <c r="K11" s="105"/>
    </row>
    <row r="12" spans="1:11" ht="35.25" customHeight="1" thickBot="1" x14ac:dyDescent="0.35">
      <c r="A12" s="110"/>
      <c r="B12" s="113"/>
      <c r="C12" s="116"/>
      <c r="D12" s="50" t="s">
        <v>3</v>
      </c>
      <c r="E12" s="20" t="s">
        <v>5</v>
      </c>
      <c r="F12" s="50" t="s">
        <v>3</v>
      </c>
      <c r="G12" s="5" t="s">
        <v>5</v>
      </c>
      <c r="H12" s="50" t="s">
        <v>3</v>
      </c>
      <c r="I12" s="5" t="s">
        <v>5</v>
      </c>
      <c r="J12" s="50" t="s">
        <v>3</v>
      </c>
      <c r="K12" s="106"/>
    </row>
    <row r="13" spans="1:11" ht="14.4" customHeight="1" x14ac:dyDescent="0.3">
      <c r="A13" s="44"/>
      <c r="B13" s="60" t="s">
        <v>18</v>
      </c>
      <c r="C13" s="42"/>
      <c r="D13" s="43"/>
      <c r="E13" s="14"/>
      <c r="F13" s="43"/>
      <c r="G13" s="43"/>
      <c r="H13" s="43"/>
      <c r="I13" s="14"/>
      <c r="J13" s="43"/>
      <c r="K13" s="45"/>
    </row>
    <row r="14" spans="1:11" ht="14.4" customHeight="1" x14ac:dyDescent="0.3">
      <c r="A14" s="51"/>
      <c r="B14" s="52"/>
      <c r="C14" s="53"/>
      <c r="D14" s="54"/>
      <c r="E14" s="55"/>
      <c r="F14" s="54"/>
      <c r="G14" s="55"/>
      <c r="H14" s="54"/>
      <c r="I14" s="55"/>
      <c r="J14" s="54"/>
      <c r="K14" s="56"/>
    </row>
    <row r="15" spans="1:11" s="29" customFormat="1" ht="27.6" x14ac:dyDescent="0.3">
      <c r="A15" s="78" t="s">
        <v>19</v>
      </c>
      <c r="B15" s="75" t="s">
        <v>39</v>
      </c>
      <c r="C15" s="68" t="s">
        <v>23</v>
      </c>
      <c r="D15" s="35">
        <v>1700</v>
      </c>
      <c r="E15" s="28"/>
      <c r="F15" s="35"/>
      <c r="G15" s="28"/>
      <c r="H15" s="35"/>
      <c r="I15" s="28"/>
      <c r="J15" s="35"/>
      <c r="K15" s="32"/>
    </row>
    <row r="16" spans="1:11" s="3" customFormat="1" ht="13.8" x14ac:dyDescent="0.3">
      <c r="A16" s="78" t="s">
        <v>20</v>
      </c>
      <c r="B16" s="69" t="s">
        <v>37</v>
      </c>
      <c r="C16" s="70" t="s">
        <v>24</v>
      </c>
      <c r="D16" s="36">
        <v>5</v>
      </c>
      <c r="E16" s="30"/>
      <c r="F16" s="35"/>
      <c r="G16" s="21"/>
      <c r="H16" s="34"/>
      <c r="I16" s="21">
        <f>1200/1.18</f>
        <v>1016.95</v>
      </c>
      <c r="J16" s="35">
        <f>D16*I16</f>
        <v>5084.75</v>
      </c>
      <c r="K16" s="32">
        <f>F16+H16+J16</f>
        <v>5084.75</v>
      </c>
    </row>
    <row r="17" spans="1:12" s="3" customFormat="1" ht="13.8" x14ac:dyDescent="0.3">
      <c r="A17" s="78" t="s">
        <v>20</v>
      </c>
      <c r="B17" s="69" t="s">
        <v>38</v>
      </c>
      <c r="C17" s="70" t="s">
        <v>34</v>
      </c>
      <c r="D17" s="36">
        <v>90</v>
      </c>
      <c r="E17" s="30"/>
      <c r="F17" s="35"/>
      <c r="G17" s="21"/>
      <c r="H17" s="34"/>
      <c r="I17" s="21">
        <v>250</v>
      </c>
      <c r="J17" s="35">
        <f>D17*I17</f>
        <v>22500</v>
      </c>
      <c r="K17" s="32">
        <f>F17+H17+J17</f>
        <v>22500</v>
      </c>
    </row>
    <row r="18" spans="1:12" s="3" customFormat="1" ht="13.8" x14ac:dyDescent="0.3">
      <c r="A18" s="78"/>
      <c r="B18" s="69" t="s">
        <v>30</v>
      </c>
      <c r="C18" s="70" t="s">
        <v>24</v>
      </c>
      <c r="D18" s="36">
        <v>8</v>
      </c>
      <c r="E18" s="30"/>
      <c r="F18" s="35"/>
      <c r="G18" s="21"/>
      <c r="H18" s="34"/>
      <c r="I18" s="21">
        <f>660/1.18</f>
        <v>559.32000000000005</v>
      </c>
      <c r="J18" s="35">
        <f>D18*I18</f>
        <v>4474.5600000000004</v>
      </c>
      <c r="K18" s="32">
        <f>F18+H18+J18</f>
        <v>4474.5600000000004</v>
      </c>
    </row>
    <row r="19" spans="1:12" s="3" customFormat="1" ht="13.8" x14ac:dyDescent="0.3">
      <c r="A19" s="78" t="s">
        <v>1</v>
      </c>
      <c r="B19" s="76" t="s">
        <v>40</v>
      </c>
      <c r="C19" s="68" t="s">
        <v>23</v>
      </c>
      <c r="D19" s="35">
        <v>2200</v>
      </c>
      <c r="E19" s="30"/>
      <c r="F19" s="58"/>
      <c r="G19" s="21"/>
      <c r="H19" s="59"/>
      <c r="I19" s="21"/>
      <c r="J19" s="58"/>
      <c r="K19" s="32"/>
    </row>
    <row r="20" spans="1:12" s="3" customFormat="1" ht="13.8" x14ac:dyDescent="0.25">
      <c r="A20" s="78"/>
      <c r="B20" s="72" t="s">
        <v>33</v>
      </c>
      <c r="C20" s="73" t="s">
        <v>23</v>
      </c>
      <c r="D20" s="74">
        <f>D19*1.25</f>
        <v>2750</v>
      </c>
      <c r="E20" s="74">
        <f>30/1.18</f>
        <v>25.42</v>
      </c>
      <c r="F20" s="35">
        <f t="shared" ref="F20" si="0">D20*E20</f>
        <v>69905</v>
      </c>
      <c r="G20" s="21"/>
      <c r="H20" s="59"/>
      <c r="I20" s="21"/>
      <c r="J20" s="58"/>
      <c r="K20" s="32">
        <f t="shared" ref="K20:K22" si="1">F20+H20+J20</f>
        <v>69905</v>
      </c>
    </row>
    <row r="21" spans="1:12" s="3" customFormat="1" ht="13.8" x14ac:dyDescent="0.25">
      <c r="A21" s="78"/>
      <c r="B21" s="72" t="s">
        <v>41</v>
      </c>
      <c r="C21" s="73" t="s">
        <v>24</v>
      </c>
      <c r="D21" s="74">
        <v>5</v>
      </c>
      <c r="E21" s="74"/>
      <c r="F21" s="35"/>
      <c r="G21" s="21"/>
      <c r="H21" s="59"/>
      <c r="I21" s="21">
        <f>900/1.18</f>
        <v>762.71</v>
      </c>
      <c r="J21" s="35">
        <f>D21*I21</f>
        <v>3813.55</v>
      </c>
      <c r="K21" s="32">
        <f>F21+H21+J21</f>
        <v>3813.55</v>
      </c>
    </row>
    <row r="22" spans="1:12" s="3" customFormat="1" ht="27.6" x14ac:dyDescent="0.25">
      <c r="A22" s="78" t="s">
        <v>42</v>
      </c>
      <c r="B22" s="77" t="s">
        <v>47</v>
      </c>
      <c r="C22" s="73" t="s">
        <v>23</v>
      </c>
      <c r="D22" s="74">
        <v>515.53</v>
      </c>
      <c r="E22" s="74"/>
      <c r="F22" s="35"/>
      <c r="G22" s="21">
        <f>120*1.275</f>
        <v>153</v>
      </c>
      <c r="H22" s="59">
        <f t="shared" ref="H22" si="2">D22*G22</f>
        <v>78876.09</v>
      </c>
      <c r="I22" s="21"/>
      <c r="J22" s="58"/>
      <c r="K22" s="32">
        <f t="shared" si="1"/>
        <v>78876.09</v>
      </c>
    </row>
    <row r="23" spans="1:12" s="3" customFormat="1" ht="13.8" x14ac:dyDescent="0.3">
      <c r="A23" s="78"/>
      <c r="B23" s="71" t="s">
        <v>44</v>
      </c>
      <c r="C23" s="70" t="s">
        <v>25</v>
      </c>
      <c r="D23" s="57">
        <f>D22*1.02</f>
        <v>525.84</v>
      </c>
      <c r="E23" s="30">
        <f>190/1.18</f>
        <v>161.02000000000001</v>
      </c>
      <c r="F23" s="35">
        <f t="shared" ref="F23:F25" si="3">D23*E23</f>
        <v>84670.76</v>
      </c>
      <c r="G23" s="21"/>
      <c r="H23" s="59">
        <f t="shared" ref="H23" si="4">D23*G23</f>
        <v>0</v>
      </c>
      <c r="I23" s="21">
        <f>15/1.18</f>
        <v>12.71</v>
      </c>
      <c r="J23" s="58">
        <f>D23*I23</f>
        <v>6683.43</v>
      </c>
      <c r="K23" s="32">
        <f t="shared" ref="K23:K25" si="5">F23+H23+J23</f>
        <v>91354.19</v>
      </c>
    </row>
    <row r="24" spans="1:12" s="3" customFormat="1" ht="13.8" x14ac:dyDescent="0.3">
      <c r="A24" s="78"/>
      <c r="B24" s="71" t="s">
        <v>29</v>
      </c>
      <c r="C24" s="70" t="s">
        <v>23</v>
      </c>
      <c r="D24" s="57">
        <f>D22</f>
        <v>515.53</v>
      </c>
      <c r="E24" s="30">
        <v>85</v>
      </c>
      <c r="F24" s="35">
        <f t="shared" si="3"/>
        <v>43820.05</v>
      </c>
      <c r="G24" s="21"/>
      <c r="H24" s="59"/>
      <c r="I24" s="21"/>
      <c r="J24" s="58"/>
      <c r="K24" s="32">
        <f t="shared" si="5"/>
        <v>43820.05</v>
      </c>
      <c r="L24" s="79"/>
    </row>
    <row r="25" spans="1:12" s="3" customFormat="1" ht="13.8" x14ac:dyDescent="0.3">
      <c r="A25" s="78"/>
      <c r="B25" s="69" t="s">
        <v>45</v>
      </c>
      <c r="C25" s="70" t="s">
        <v>28</v>
      </c>
      <c r="D25" s="36">
        <f>(240.17+183.29+194.35)/1000*1.03</f>
        <v>0.64</v>
      </c>
      <c r="E25" s="30">
        <f>1020*3.2/1.18</f>
        <v>2766.1</v>
      </c>
      <c r="F25" s="35">
        <f t="shared" si="3"/>
        <v>1770.3</v>
      </c>
      <c r="G25" s="21"/>
      <c r="H25" s="59"/>
      <c r="I25" s="21"/>
      <c r="J25" s="58"/>
      <c r="K25" s="32">
        <f t="shared" si="5"/>
        <v>1770.3</v>
      </c>
    </row>
    <row r="26" spans="1:12" s="3" customFormat="1" ht="13.8" x14ac:dyDescent="0.3">
      <c r="A26" s="78"/>
      <c r="B26" s="69" t="s">
        <v>46</v>
      </c>
      <c r="C26" s="70" t="s">
        <v>28</v>
      </c>
      <c r="D26" s="36">
        <f>(36310.49-240.17-183.29-194.35)/1000*1.03</f>
        <v>36.76</v>
      </c>
      <c r="E26" s="30">
        <f>1000*3.2/1.18</f>
        <v>2711.86</v>
      </c>
      <c r="F26" s="35">
        <f t="shared" ref="F26" si="6">D26*E26</f>
        <v>99687.97</v>
      </c>
      <c r="G26" s="21"/>
      <c r="H26" s="59"/>
      <c r="I26" s="21"/>
      <c r="J26" s="58"/>
      <c r="K26" s="32">
        <f t="shared" ref="K26" si="7">F26+H26+J26</f>
        <v>99687.97</v>
      </c>
    </row>
    <row r="27" spans="1:12" s="3" customFormat="1" ht="13.8" x14ac:dyDescent="0.3">
      <c r="A27" s="78"/>
      <c r="B27" s="71" t="s">
        <v>26</v>
      </c>
      <c r="C27" s="70"/>
      <c r="D27" s="57"/>
      <c r="E27" s="30"/>
      <c r="F27" s="58">
        <f>SUM(F18:F25)*0.05</f>
        <v>10008.31</v>
      </c>
      <c r="G27" s="21"/>
      <c r="H27" s="59"/>
      <c r="I27" s="21"/>
      <c r="J27" s="58"/>
      <c r="K27" s="32">
        <f>F27+H27+J27</f>
        <v>10008.31</v>
      </c>
      <c r="L27" s="79"/>
    </row>
    <row r="28" spans="1:12" s="3" customFormat="1" ht="13.8" x14ac:dyDescent="0.3">
      <c r="A28" s="78" t="s">
        <v>43</v>
      </c>
      <c r="B28" s="76" t="s">
        <v>48</v>
      </c>
      <c r="C28" s="70" t="s">
        <v>27</v>
      </c>
      <c r="D28" s="57">
        <v>600</v>
      </c>
      <c r="E28" s="30">
        <f>18/1.18</f>
        <v>15.25</v>
      </c>
      <c r="F28" s="58">
        <f>D28*E28</f>
        <v>9150</v>
      </c>
      <c r="G28" s="21">
        <f>4*1.275</f>
        <v>5.0999999999999996</v>
      </c>
      <c r="H28" s="59">
        <f>D28*G28</f>
        <v>3060</v>
      </c>
      <c r="I28" s="21"/>
      <c r="J28" s="58"/>
      <c r="K28" s="32">
        <f>F28+H28+J28</f>
        <v>12210</v>
      </c>
    </row>
    <row r="29" spans="1:12" s="3" customFormat="1" ht="15" x14ac:dyDescent="0.3">
      <c r="A29" s="33"/>
      <c r="B29" s="67"/>
      <c r="C29" s="31"/>
      <c r="D29" s="57"/>
      <c r="E29" s="30"/>
      <c r="F29" s="58"/>
      <c r="G29" s="21"/>
      <c r="H29" s="59"/>
      <c r="I29" s="21"/>
      <c r="J29" s="58"/>
      <c r="K29" s="32"/>
    </row>
    <row r="30" spans="1:12" s="3" customFormat="1" ht="15.6" thickBot="1" x14ac:dyDescent="0.35">
      <c r="A30" s="33"/>
      <c r="B30" s="47"/>
      <c r="C30" s="31"/>
      <c r="D30" s="36"/>
      <c r="E30" s="30"/>
      <c r="F30" s="35"/>
      <c r="G30" s="21"/>
      <c r="H30" s="34"/>
      <c r="I30" s="21"/>
      <c r="J30" s="35"/>
      <c r="K30" s="32"/>
    </row>
    <row r="31" spans="1:12" ht="13.8" thickBot="1" x14ac:dyDescent="0.35">
      <c r="A31" s="24"/>
      <c r="B31" s="61" t="s">
        <v>9</v>
      </c>
      <c r="C31" s="25"/>
      <c r="D31" s="37"/>
      <c r="E31" s="38"/>
      <c r="F31" s="37">
        <f>SUM(F15:F30)</f>
        <v>319012.39</v>
      </c>
      <c r="G31" s="37"/>
      <c r="H31" s="37">
        <f>SUM(H16:H30)</f>
        <v>81936.09</v>
      </c>
      <c r="I31" s="37"/>
      <c r="J31" s="37">
        <f>SUM(J16:J30)</f>
        <v>42556.29</v>
      </c>
      <c r="K31" s="39">
        <f>SUM(K16:K30)</f>
        <v>443504.77</v>
      </c>
    </row>
    <row r="32" spans="1:12" ht="15" customHeight="1" x14ac:dyDescent="0.3">
      <c r="A32" s="16"/>
      <c r="B32" s="62" t="s">
        <v>21</v>
      </c>
      <c r="C32" s="18">
        <v>0.05</v>
      </c>
      <c r="D32" s="12"/>
      <c r="E32" s="22"/>
      <c r="F32" s="12"/>
      <c r="G32" s="13"/>
      <c r="H32" s="12"/>
      <c r="I32" s="13"/>
      <c r="J32" s="12"/>
      <c r="K32" s="40">
        <f>F31*C32</f>
        <v>15950.62</v>
      </c>
    </row>
    <row r="33" spans="1:11" ht="15" customHeight="1" x14ac:dyDescent="0.3">
      <c r="A33" s="16"/>
      <c r="B33" s="62" t="s">
        <v>8</v>
      </c>
      <c r="C33" s="18"/>
      <c r="D33" s="12"/>
      <c r="E33" s="22"/>
      <c r="F33" s="12"/>
      <c r="G33" s="13"/>
      <c r="H33" s="12"/>
      <c r="I33" s="13"/>
      <c r="J33" s="12"/>
      <c r="K33" s="40">
        <f>K31+K32</f>
        <v>459455.39</v>
      </c>
    </row>
    <row r="34" spans="1:11" ht="15" customHeight="1" x14ac:dyDescent="0.3">
      <c r="A34" s="16"/>
      <c r="B34" s="62" t="s">
        <v>15</v>
      </c>
      <c r="C34" s="18">
        <v>0.1</v>
      </c>
      <c r="D34" s="12"/>
      <c r="E34" s="22"/>
      <c r="F34" s="12"/>
      <c r="G34" s="13"/>
      <c r="H34" s="12"/>
      <c r="I34" s="13"/>
      <c r="J34" s="12"/>
      <c r="K34" s="40">
        <f>K33*$C$34</f>
        <v>45945.54</v>
      </c>
    </row>
    <row r="35" spans="1:11" ht="15" customHeight="1" x14ac:dyDescent="0.3">
      <c r="A35" s="16"/>
      <c r="B35" s="62" t="s">
        <v>8</v>
      </c>
      <c r="C35" s="18"/>
      <c r="D35" s="12"/>
      <c r="E35" s="22"/>
      <c r="F35" s="12"/>
      <c r="G35" s="13"/>
      <c r="H35" s="12"/>
      <c r="I35" s="13"/>
      <c r="J35" s="12"/>
      <c r="K35" s="40">
        <f>K33+K34</f>
        <v>505400.93</v>
      </c>
    </row>
    <row r="36" spans="1:11" ht="15" customHeight="1" x14ac:dyDescent="0.3">
      <c r="A36" s="16"/>
      <c r="B36" s="62" t="s">
        <v>14</v>
      </c>
      <c r="C36" s="18">
        <v>0.08</v>
      </c>
      <c r="D36" s="12"/>
      <c r="E36" s="22"/>
      <c r="F36" s="12"/>
      <c r="G36" s="13"/>
      <c r="H36" s="12"/>
      <c r="I36" s="13"/>
      <c r="J36" s="12"/>
      <c r="K36" s="40">
        <f>K35*$C$36</f>
        <v>40432.07</v>
      </c>
    </row>
    <row r="37" spans="1:11" ht="15" customHeight="1" x14ac:dyDescent="0.3">
      <c r="A37" s="16"/>
      <c r="B37" s="62" t="s">
        <v>8</v>
      </c>
      <c r="C37" s="18"/>
      <c r="D37" s="12"/>
      <c r="E37" s="22"/>
      <c r="F37" s="12"/>
      <c r="G37" s="13"/>
      <c r="H37" s="12"/>
      <c r="I37" s="13"/>
      <c r="J37" s="12"/>
      <c r="K37" s="40">
        <f>K35+K36</f>
        <v>545833</v>
      </c>
    </row>
    <row r="38" spans="1:11" ht="15" customHeight="1" thickBot="1" x14ac:dyDescent="0.35">
      <c r="A38" s="16"/>
      <c r="B38" s="63" t="s">
        <v>17</v>
      </c>
      <c r="C38" s="18">
        <v>0.18</v>
      </c>
      <c r="D38" s="12"/>
      <c r="E38" s="22"/>
      <c r="F38" s="12"/>
      <c r="G38" s="13"/>
      <c r="H38" s="12"/>
      <c r="I38" s="13"/>
      <c r="J38" s="12"/>
      <c r="K38" s="40">
        <f>K37*$C$38</f>
        <v>98249.94</v>
      </c>
    </row>
    <row r="39" spans="1:11" ht="15" customHeight="1" thickBot="1" x14ac:dyDescent="0.35">
      <c r="A39" s="17"/>
      <c r="B39" s="64" t="s">
        <v>22</v>
      </c>
      <c r="C39" s="19"/>
      <c r="D39" s="11"/>
      <c r="E39" s="23"/>
      <c r="F39" s="11"/>
      <c r="G39" s="11"/>
      <c r="H39" s="11"/>
      <c r="I39" s="11"/>
      <c r="J39" s="11"/>
      <c r="K39" s="41">
        <f>SUM(K37:K38)</f>
        <v>644082.93999999994</v>
      </c>
    </row>
    <row r="42" spans="1:11" ht="23.4" customHeight="1" x14ac:dyDescent="0.3">
      <c r="B42" s="65" t="s">
        <v>11</v>
      </c>
      <c r="C42" s="15" t="s">
        <v>32</v>
      </c>
      <c r="D42" s="49"/>
      <c r="E42" s="49"/>
      <c r="F42" s="49" t="s">
        <v>12</v>
      </c>
      <c r="G42" s="49"/>
      <c r="H42" s="49"/>
      <c r="I42" s="49"/>
      <c r="J42" s="49"/>
      <c r="K42" s="27"/>
    </row>
    <row r="43" spans="1:11" ht="13.2" x14ac:dyDescent="0.3">
      <c r="B43" s="65"/>
      <c r="C43" s="15"/>
      <c r="D43" s="49"/>
      <c r="E43" s="49"/>
      <c r="F43" s="49"/>
      <c r="G43" s="49"/>
      <c r="H43" s="49"/>
      <c r="I43" s="49"/>
      <c r="J43" s="49"/>
      <c r="K43" s="27"/>
    </row>
    <row r="44" spans="1:11" ht="13.2" x14ac:dyDescent="0.3">
      <c r="B44" s="65"/>
      <c r="C44" s="15"/>
      <c r="D44" s="49"/>
      <c r="E44" s="49"/>
      <c r="F44" s="49"/>
      <c r="G44" s="49"/>
      <c r="H44" s="49"/>
      <c r="I44" s="49"/>
      <c r="J44" s="49"/>
      <c r="K44" s="27"/>
    </row>
    <row r="45" spans="1:11" ht="13.2" x14ac:dyDescent="0.3">
      <c r="B45" s="65"/>
      <c r="C45" s="15"/>
      <c r="D45" s="49"/>
      <c r="E45" s="49"/>
      <c r="F45" s="49"/>
      <c r="G45" s="49"/>
      <c r="H45" s="49"/>
      <c r="I45" s="49"/>
      <c r="J45" s="49"/>
      <c r="K45" s="27"/>
    </row>
    <row r="46" spans="1:11" ht="13.2" x14ac:dyDescent="0.3">
      <c r="B46" s="65"/>
      <c r="C46" s="15"/>
      <c r="D46" s="49"/>
      <c r="E46" s="49"/>
      <c r="F46" s="49"/>
      <c r="G46" s="49"/>
      <c r="H46" s="49"/>
      <c r="I46" s="49"/>
      <c r="J46" s="49"/>
      <c r="K46" s="27"/>
    </row>
    <row r="47" spans="1:11" ht="13.2" x14ac:dyDescent="0.3">
      <c r="B47" s="65"/>
      <c r="C47" s="15"/>
      <c r="D47" s="49"/>
      <c r="E47" s="49"/>
      <c r="F47" s="49"/>
      <c r="G47" s="49"/>
      <c r="H47" s="49"/>
      <c r="I47" s="49"/>
      <c r="J47" s="49"/>
      <c r="K47" s="27"/>
    </row>
  </sheetData>
  <mergeCells count="9">
    <mergeCell ref="A3:C3"/>
    <mergeCell ref="D10:J10"/>
    <mergeCell ref="K10:K12"/>
    <mergeCell ref="E11:F11"/>
    <mergeCell ref="G11:H11"/>
    <mergeCell ref="I11:J11"/>
    <mergeCell ref="A10:A12"/>
    <mergeCell ref="B10:B12"/>
    <mergeCell ref="C10:C12"/>
  </mergeCells>
  <phoneticPr fontId="22" type="noConversion"/>
  <pageMargins left="0.31496062992126" right="0.31496062992126" top="0.35433070866141703" bottom="0.15748031496063" header="0.31496062992126" footer="0.3149606299212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6CA9-3273-4904-908D-26DD8E233FCF}">
  <sheetPr>
    <tabColor rgb="FFFF0000"/>
  </sheetPr>
  <dimension ref="A1:M56"/>
  <sheetViews>
    <sheetView tabSelected="1" zoomScaleNormal="100" zoomScalePageLayoutView="125" workbookViewId="0">
      <selection activeCell="H15" sqref="H15"/>
    </sheetView>
  </sheetViews>
  <sheetFormatPr defaultColWidth="8.88671875" defaultRowHeight="10.199999999999999" x14ac:dyDescent="0.3"/>
  <cols>
    <col min="1" max="1" width="14.109375" style="1" customWidth="1"/>
    <col min="2" max="2" width="47.88671875" style="66" customWidth="1"/>
    <col min="3" max="3" width="10.5546875" style="9" bestFit="1" customWidth="1"/>
    <col min="4" max="5" width="10.5546875" style="9" customWidth="1"/>
    <col min="6" max="6" width="11.5546875" style="1" customWidth="1"/>
    <col min="7" max="7" width="12.44140625" style="1" customWidth="1"/>
    <col min="8" max="8" width="11.44140625" style="1" bestFit="1" customWidth="1"/>
    <col min="9" max="9" width="12.44140625" style="1" bestFit="1" customWidth="1"/>
    <col min="10" max="10" width="10.6640625" style="1" bestFit="1" customWidth="1"/>
    <col min="11" max="11" width="13.109375" style="1" customWidth="1"/>
    <col min="12" max="12" width="13.33203125" style="26" customWidth="1"/>
    <col min="13" max="13" width="9.5546875" style="1" bestFit="1" customWidth="1"/>
    <col min="14" max="16384" width="8.88671875" style="1"/>
  </cols>
  <sheetData>
    <row r="1" spans="1:13" s="2" customFormat="1" ht="14.4" x14ac:dyDescent="0.25">
      <c r="A1" s="124" t="s">
        <v>68</v>
      </c>
      <c r="B1" s="124"/>
      <c r="C1" s="7"/>
      <c r="D1" s="7"/>
      <c r="E1" s="7"/>
      <c r="F1" s="6"/>
      <c r="G1" s="6"/>
      <c r="H1" s="6"/>
      <c r="I1" s="6"/>
      <c r="J1" s="6"/>
      <c r="K1" s="6"/>
      <c r="L1" s="6"/>
    </row>
    <row r="2" spans="1:13" s="2" customFormat="1" ht="14.4" thickBot="1" x14ac:dyDescent="0.3">
      <c r="A2" s="4"/>
      <c r="B2" s="4"/>
      <c r="C2" s="8"/>
      <c r="D2" s="8"/>
      <c r="E2" s="8"/>
      <c r="F2" s="96"/>
      <c r="G2" s="4"/>
      <c r="H2" s="4"/>
      <c r="I2" s="4"/>
      <c r="J2" s="4"/>
      <c r="K2" s="4"/>
      <c r="L2" s="4"/>
    </row>
    <row r="3" spans="1:13" ht="24.75" customHeight="1" x14ac:dyDescent="0.3">
      <c r="A3" s="108" t="s">
        <v>0</v>
      </c>
      <c r="B3" s="111" t="s">
        <v>10</v>
      </c>
      <c r="C3" s="114" t="s">
        <v>2</v>
      </c>
      <c r="D3" s="80"/>
      <c r="E3" s="123" t="s">
        <v>61</v>
      </c>
      <c r="F3" s="107" t="s">
        <v>4</v>
      </c>
      <c r="G3" s="107"/>
      <c r="H3" s="107" t="s">
        <v>7</v>
      </c>
      <c r="I3" s="107"/>
      <c r="J3" s="119" t="s">
        <v>6</v>
      </c>
      <c r="K3" s="120"/>
      <c r="L3" s="104" t="s">
        <v>13</v>
      </c>
    </row>
    <row r="4" spans="1:13" ht="27" customHeight="1" x14ac:dyDescent="0.3">
      <c r="A4" s="109"/>
      <c r="B4" s="112"/>
      <c r="C4" s="115"/>
      <c r="D4" s="115" t="s">
        <v>60</v>
      </c>
      <c r="E4" s="115"/>
      <c r="F4" s="118"/>
      <c r="G4" s="118"/>
      <c r="H4" s="118"/>
      <c r="I4" s="118"/>
      <c r="J4" s="121"/>
      <c r="K4" s="122"/>
      <c r="L4" s="105"/>
    </row>
    <row r="5" spans="1:13" ht="35.25" customHeight="1" thickBot="1" x14ac:dyDescent="0.35">
      <c r="A5" s="110"/>
      <c r="B5" s="113"/>
      <c r="C5" s="116"/>
      <c r="D5" s="117"/>
      <c r="E5" s="117"/>
      <c r="F5" s="20" t="s">
        <v>5</v>
      </c>
      <c r="G5" s="50" t="s">
        <v>3</v>
      </c>
      <c r="H5" s="5" t="s">
        <v>5</v>
      </c>
      <c r="I5" s="50" t="s">
        <v>3</v>
      </c>
      <c r="J5" s="5" t="s">
        <v>5</v>
      </c>
      <c r="K5" s="50" t="s">
        <v>3</v>
      </c>
      <c r="L5" s="106"/>
    </row>
    <row r="6" spans="1:13" ht="14.4" customHeight="1" x14ac:dyDescent="0.3">
      <c r="A6" s="44"/>
      <c r="B6" s="60" t="s">
        <v>18</v>
      </c>
      <c r="C6" s="42"/>
      <c r="D6" s="42"/>
      <c r="E6" s="89"/>
      <c r="F6" s="14"/>
      <c r="G6" s="43"/>
      <c r="H6" s="43"/>
      <c r="I6" s="43"/>
      <c r="J6" s="14"/>
      <c r="K6" s="43"/>
      <c r="L6" s="45"/>
    </row>
    <row r="7" spans="1:13" ht="14.4" customHeight="1" x14ac:dyDescent="0.3">
      <c r="A7" s="51"/>
      <c r="B7" s="52"/>
      <c r="C7" s="53"/>
      <c r="D7" s="53"/>
      <c r="E7" s="54"/>
      <c r="F7" s="55"/>
      <c r="G7" s="54"/>
      <c r="H7" s="55"/>
      <c r="I7" s="54"/>
      <c r="J7" s="55"/>
      <c r="K7" s="54"/>
      <c r="L7" s="56"/>
    </row>
    <row r="8" spans="1:13" s="29" customFormat="1" ht="27.6" x14ac:dyDescent="0.3">
      <c r="A8" s="78" t="s">
        <v>19</v>
      </c>
      <c r="B8" s="75" t="s">
        <v>39</v>
      </c>
      <c r="C8" s="68" t="s">
        <v>23</v>
      </c>
      <c r="D8" s="68"/>
      <c r="E8" s="35">
        <v>1700</v>
      </c>
      <c r="F8" s="28"/>
      <c r="G8" s="35"/>
      <c r="H8" s="28"/>
      <c r="I8" s="35"/>
      <c r="J8" s="28"/>
      <c r="K8" s="35"/>
      <c r="L8" s="32"/>
    </row>
    <row r="9" spans="1:13" s="3" customFormat="1" ht="13.8" x14ac:dyDescent="0.3">
      <c r="A9" s="78" t="s">
        <v>20</v>
      </c>
      <c r="B9" s="69" t="s">
        <v>37</v>
      </c>
      <c r="C9" s="70" t="s">
        <v>24</v>
      </c>
      <c r="D9" s="70"/>
      <c r="E9" s="36">
        <v>5</v>
      </c>
      <c r="F9" s="30"/>
      <c r="G9" s="35"/>
      <c r="H9" s="21"/>
      <c r="I9" s="34"/>
      <c r="J9" s="21"/>
      <c r="K9" s="35"/>
      <c r="L9" s="32"/>
    </row>
    <row r="10" spans="1:13" s="3" customFormat="1" ht="13.8" x14ac:dyDescent="0.3">
      <c r="A10" s="78" t="s">
        <v>20</v>
      </c>
      <c r="B10" s="69" t="s">
        <v>38</v>
      </c>
      <c r="C10" s="70" t="s">
        <v>34</v>
      </c>
      <c r="D10" s="70"/>
      <c r="E10" s="36">
        <v>90</v>
      </c>
      <c r="F10" s="30"/>
      <c r="G10" s="35"/>
      <c r="H10" s="21"/>
      <c r="I10" s="34"/>
      <c r="J10" s="21"/>
      <c r="K10" s="35"/>
      <c r="L10" s="32"/>
    </row>
    <row r="11" spans="1:13" s="3" customFormat="1" ht="13.8" x14ac:dyDescent="0.3">
      <c r="A11" s="78"/>
      <c r="B11" s="69" t="s">
        <v>30</v>
      </c>
      <c r="C11" s="70" t="s">
        <v>24</v>
      </c>
      <c r="D11" s="70"/>
      <c r="E11" s="36">
        <v>8</v>
      </c>
      <c r="F11" s="30"/>
      <c r="G11" s="35"/>
      <c r="H11" s="21"/>
      <c r="I11" s="34"/>
      <c r="J11" s="21"/>
      <c r="K11" s="35"/>
      <c r="L11" s="32"/>
    </row>
    <row r="12" spans="1:13" s="3" customFormat="1" ht="13.8" x14ac:dyDescent="0.3">
      <c r="A12" s="78" t="s">
        <v>1</v>
      </c>
      <c r="B12" s="76" t="s">
        <v>40</v>
      </c>
      <c r="C12" s="68" t="s">
        <v>23</v>
      </c>
      <c r="D12" s="68"/>
      <c r="E12" s="35">
        <v>1995</v>
      </c>
      <c r="F12" s="30"/>
      <c r="G12" s="58"/>
      <c r="H12" s="21"/>
      <c r="I12" s="59"/>
      <c r="J12" s="21"/>
      <c r="K12" s="35"/>
      <c r="L12" s="32"/>
    </row>
    <row r="13" spans="1:13" s="3" customFormat="1" ht="13.8" x14ac:dyDescent="0.25">
      <c r="A13" s="78"/>
      <c r="B13" s="72" t="s">
        <v>33</v>
      </c>
      <c r="C13" s="83" t="s">
        <v>23</v>
      </c>
      <c r="D13" s="73"/>
      <c r="E13" s="74">
        <f>E12*1.25</f>
        <v>2493.75</v>
      </c>
      <c r="F13" s="74"/>
      <c r="G13" s="35"/>
      <c r="H13" s="21"/>
      <c r="I13" s="59"/>
      <c r="J13" s="21"/>
      <c r="K13" s="35"/>
      <c r="L13" s="32"/>
    </row>
    <row r="14" spans="1:13" s="3" customFormat="1" ht="13.8" x14ac:dyDescent="0.25">
      <c r="A14" s="78"/>
      <c r="B14" s="72" t="s">
        <v>41</v>
      </c>
      <c r="C14" s="73" t="s">
        <v>24</v>
      </c>
      <c r="D14" s="73"/>
      <c r="E14" s="74">
        <v>5</v>
      </c>
      <c r="F14" s="74"/>
      <c r="G14" s="35"/>
      <c r="H14" s="21"/>
      <c r="I14" s="59"/>
      <c r="J14" s="21"/>
      <c r="K14" s="35"/>
      <c r="L14" s="32"/>
    </row>
    <row r="15" spans="1:13" s="3" customFormat="1" ht="27.6" x14ac:dyDescent="0.25">
      <c r="A15" s="78" t="s">
        <v>56</v>
      </c>
      <c r="B15" s="77" t="s">
        <v>47</v>
      </c>
      <c r="C15" s="83" t="s">
        <v>23</v>
      </c>
      <c r="D15" s="81"/>
      <c r="E15" s="88">
        <f>515.53-219.57</f>
        <v>296</v>
      </c>
      <c r="F15" s="74"/>
      <c r="G15" s="35"/>
      <c r="H15" s="21"/>
      <c r="I15" s="59"/>
      <c r="J15" s="21"/>
      <c r="K15" s="58"/>
      <c r="L15" s="32"/>
      <c r="M15" s="79"/>
    </row>
    <row r="16" spans="1:13" s="3" customFormat="1" ht="13.8" x14ac:dyDescent="0.3">
      <c r="A16" s="78"/>
      <c r="B16" s="71" t="s">
        <v>44</v>
      </c>
      <c r="C16" s="70" t="s">
        <v>25</v>
      </c>
      <c r="D16" s="82" t="s">
        <v>52</v>
      </c>
      <c r="E16" s="84">
        <f>E15*D16</f>
        <v>300.39999999999998</v>
      </c>
      <c r="F16" s="30"/>
      <c r="G16" s="35"/>
      <c r="H16" s="21"/>
      <c r="I16" s="59"/>
      <c r="J16" s="21"/>
      <c r="K16" s="58"/>
      <c r="L16" s="32"/>
    </row>
    <row r="17" spans="1:13" s="3" customFormat="1" ht="13.8" x14ac:dyDescent="0.3">
      <c r="A17" s="78"/>
      <c r="B17" s="71" t="s">
        <v>53</v>
      </c>
      <c r="C17" s="70" t="s">
        <v>54</v>
      </c>
      <c r="D17" s="82">
        <f>(10.4+3.44)/2</f>
        <v>6.92</v>
      </c>
      <c r="E17" s="84">
        <f>D17*E15</f>
        <v>2048.3000000000002</v>
      </c>
      <c r="F17" s="30"/>
      <c r="G17" s="58"/>
      <c r="H17" s="21"/>
      <c r="I17" s="59"/>
      <c r="J17" s="21"/>
      <c r="K17" s="58"/>
      <c r="L17" s="32"/>
      <c r="M17" s="79"/>
    </row>
    <row r="18" spans="1:13" s="3" customFormat="1" ht="13.8" x14ac:dyDescent="0.3">
      <c r="A18" s="78"/>
      <c r="B18" s="71" t="s">
        <v>55</v>
      </c>
      <c r="C18" s="70" t="s">
        <v>51</v>
      </c>
      <c r="D18" s="82">
        <f>(1.22+0.7)/2</f>
        <v>0.96</v>
      </c>
      <c r="E18" s="84">
        <f>E15*D18</f>
        <v>284.2</v>
      </c>
      <c r="F18" s="30"/>
      <c r="G18" s="58"/>
      <c r="H18" s="21"/>
      <c r="I18" s="59"/>
      <c r="J18" s="21"/>
      <c r="K18" s="58"/>
      <c r="L18" s="32"/>
    </row>
    <row r="19" spans="1:13" s="3" customFormat="1" ht="13.8" x14ac:dyDescent="0.3">
      <c r="A19" s="78"/>
      <c r="B19" s="71" t="s">
        <v>49</v>
      </c>
      <c r="C19" s="70" t="s">
        <v>27</v>
      </c>
      <c r="D19" s="82">
        <f>(1.76+0.352)/2</f>
        <v>1.056</v>
      </c>
      <c r="E19" s="84">
        <f>E15*D19</f>
        <v>312.60000000000002</v>
      </c>
      <c r="F19" s="30"/>
      <c r="G19" s="35"/>
      <c r="H19" s="21"/>
      <c r="I19" s="59"/>
      <c r="J19" s="21"/>
      <c r="K19" s="58"/>
      <c r="L19" s="32"/>
      <c r="M19" s="79"/>
    </row>
    <row r="20" spans="1:13" s="3" customFormat="1" ht="13.8" x14ac:dyDescent="0.3">
      <c r="A20" s="78"/>
      <c r="B20" s="71" t="s">
        <v>50</v>
      </c>
      <c r="C20" s="70" t="s">
        <v>23</v>
      </c>
      <c r="D20" s="82">
        <f>(0.0571+0.0103)/2+0.002</f>
        <v>3.5700000000000003E-2</v>
      </c>
      <c r="E20" s="84">
        <f>D20*E15</f>
        <v>10.6</v>
      </c>
      <c r="F20" s="30"/>
      <c r="G20" s="58"/>
      <c r="H20" s="21"/>
      <c r="I20" s="59"/>
      <c r="J20" s="21"/>
      <c r="K20" s="58"/>
      <c r="L20" s="32"/>
    </row>
    <row r="21" spans="1:13" s="3" customFormat="1" ht="13.8" x14ac:dyDescent="0.3">
      <c r="A21" s="78"/>
      <c r="B21" s="69" t="s">
        <v>45</v>
      </c>
      <c r="C21" s="70" t="s">
        <v>28</v>
      </c>
      <c r="D21" s="82"/>
      <c r="E21" s="85">
        <v>0.6</v>
      </c>
      <c r="F21" s="30"/>
      <c r="G21" s="35"/>
      <c r="H21" s="21"/>
      <c r="I21" s="59"/>
      <c r="J21" s="21"/>
      <c r="K21" s="58"/>
      <c r="L21" s="32"/>
    </row>
    <row r="22" spans="1:13" s="3" customFormat="1" ht="13.8" x14ac:dyDescent="0.3">
      <c r="A22" s="78"/>
      <c r="B22" s="69" t="s">
        <v>46</v>
      </c>
      <c r="C22" s="70" t="s">
        <v>28</v>
      </c>
      <c r="D22" s="82"/>
      <c r="E22" s="84">
        <v>36.799999999999997</v>
      </c>
      <c r="F22" s="30"/>
      <c r="G22" s="35"/>
      <c r="H22" s="21"/>
      <c r="I22" s="59"/>
      <c r="J22" s="21"/>
      <c r="K22" s="58"/>
      <c r="L22" s="32"/>
    </row>
    <row r="23" spans="1:13" s="3" customFormat="1" ht="13.8" x14ac:dyDescent="0.3">
      <c r="A23" s="78"/>
      <c r="B23" s="71" t="s">
        <v>26</v>
      </c>
      <c r="C23" s="70" t="s">
        <v>51</v>
      </c>
      <c r="D23" s="82">
        <f>(0.49+0.11)/2</f>
        <v>0.3</v>
      </c>
      <c r="E23" s="84">
        <f>E15*D23</f>
        <v>88.8</v>
      </c>
      <c r="F23" s="30"/>
      <c r="G23" s="58"/>
      <c r="H23" s="21"/>
      <c r="I23" s="59"/>
      <c r="J23" s="21"/>
      <c r="K23" s="58"/>
      <c r="L23" s="32"/>
    </row>
    <row r="24" spans="1:13" s="3" customFormat="1" ht="27.6" x14ac:dyDescent="0.25">
      <c r="A24" s="78" t="s">
        <v>57</v>
      </c>
      <c r="B24" s="77" t="s">
        <v>58</v>
      </c>
      <c r="C24" s="83" t="s">
        <v>23</v>
      </c>
      <c r="D24" s="81"/>
      <c r="E24" s="86">
        <f>219.6-28.45</f>
        <v>191.2</v>
      </c>
      <c r="F24" s="74"/>
      <c r="G24" s="35"/>
      <c r="H24" s="21"/>
      <c r="I24" s="59"/>
      <c r="J24" s="21"/>
      <c r="K24" s="58"/>
      <c r="L24" s="32"/>
    </row>
    <row r="25" spans="1:13" s="3" customFormat="1" ht="13.8" x14ac:dyDescent="0.3">
      <c r="A25" s="78"/>
      <c r="B25" s="71" t="s">
        <v>44</v>
      </c>
      <c r="C25" s="70" t="s">
        <v>25</v>
      </c>
      <c r="D25" s="82" t="s">
        <v>52</v>
      </c>
      <c r="E25" s="87">
        <f>E24*D25</f>
        <v>194.1</v>
      </c>
      <c r="F25" s="30"/>
      <c r="G25" s="35"/>
      <c r="H25" s="21"/>
      <c r="I25" s="59"/>
      <c r="J25" s="21"/>
      <c r="K25" s="58"/>
      <c r="L25" s="32"/>
    </row>
    <row r="26" spans="1:13" s="3" customFormat="1" ht="13.8" x14ac:dyDescent="0.3">
      <c r="A26" s="78"/>
      <c r="B26" s="71" t="s">
        <v>53</v>
      </c>
      <c r="C26" s="70" t="s">
        <v>54</v>
      </c>
      <c r="D26" s="82">
        <v>2.42</v>
      </c>
      <c r="E26" s="87">
        <f>D26*E24</f>
        <v>462.7</v>
      </c>
      <c r="F26" s="30"/>
      <c r="G26" s="58"/>
      <c r="H26" s="21"/>
      <c r="I26" s="59"/>
      <c r="J26" s="21"/>
      <c r="K26" s="58"/>
      <c r="L26" s="32"/>
    </row>
    <row r="27" spans="1:13" s="3" customFormat="1" ht="13.8" x14ac:dyDescent="0.3">
      <c r="A27" s="78"/>
      <c r="B27" s="71" t="s">
        <v>55</v>
      </c>
      <c r="C27" s="70" t="s">
        <v>51</v>
      </c>
      <c r="D27" s="82">
        <v>1.08</v>
      </c>
      <c r="E27" s="87">
        <f>E24*D27</f>
        <v>206.5</v>
      </c>
      <c r="F27" s="30"/>
      <c r="G27" s="58"/>
      <c r="H27" s="21"/>
      <c r="I27" s="59"/>
      <c r="J27" s="21"/>
      <c r="K27" s="58"/>
      <c r="L27" s="32"/>
    </row>
    <row r="28" spans="1:13" s="3" customFormat="1" ht="13.8" x14ac:dyDescent="0.3">
      <c r="A28" s="78"/>
      <c r="B28" s="71" t="s">
        <v>49</v>
      </c>
      <c r="C28" s="70" t="s">
        <v>27</v>
      </c>
      <c r="D28" s="82">
        <v>0.14000000000000001</v>
      </c>
      <c r="E28" s="87">
        <f>E24*D28</f>
        <v>26.8</v>
      </c>
      <c r="F28" s="30"/>
      <c r="G28" s="35"/>
      <c r="H28" s="21"/>
      <c r="I28" s="59"/>
      <c r="J28" s="21"/>
      <c r="K28" s="58"/>
      <c r="L28" s="32"/>
    </row>
    <row r="29" spans="1:13" s="3" customFormat="1" ht="13.8" x14ac:dyDescent="0.3">
      <c r="A29" s="78"/>
      <c r="B29" s="71" t="s">
        <v>50</v>
      </c>
      <c r="C29" s="70" t="s">
        <v>23</v>
      </c>
      <c r="D29" s="82">
        <v>1.6999999999999999E-3</v>
      </c>
      <c r="E29" s="87">
        <f>D29*E24</f>
        <v>0.3</v>
      </c>
      <c r="F29" s="30"/>
      <c r="G29" s="58"/>
      <c r="H29" s="21"/>
      <c r="I29" s="59"/>
      <c r="J29" s="21"/>
      <c r="K29" s="58"/>
      <c r="L29" s="32"/>
    </row>
    <row r="30" spans="1:13" s="3" customFormat="1" ht="13.8" x14ac:dyDescent="0.3">
      <c r="A30" s="78"/>
      <c r="B30" s="71" t="s">
        <v>26</v>
      </c>
      <c r="C30" s="70" t="s">
        <v>51</v>
      </c>
      <c r="D30" s="82">
        <v>0.22</v>
      </c>
      <c r="E30" s="87">
        <f>E24*D30</f>
        <v>42.1</v>
      </c>
      <c r="F30" s="30"/>
      <c r="G30" s="58"/>
      <c r="H30" s="21"/>
      <c r="I30" s="59"/>
      <c r="J30" s="21"/>
      <c r="K30" s="58"/>
      <c r="L30" s="32"/>
    </row>
    <row r="31" spans="1:13" s="3" customFormat="1" ht="27.6" x14ac:dyDescent="0.25">
      <c r="A31" s="78" t="s">
        <v>67</v>
      </c>
      <c r="B31" s="77" t="s">
        <v>59</v>
      </c>
      <c r="C31" s="83" t="s">
        <v>23</v>
      </c>
      <c r="D31" s="81"/>
      <c r="E31" s="86">
        <v>28.5</v>
      </c>
      <c r="F31" s="74"/>
      <c r="G31" s="35"/>
      <c r="H31" s="21"/>
      <c r="I31" s="59"/>
      <c r="J31" s="21"/>
      <c r="K31" s="58"/>
      <c r="L31" s="32"/>
    </row>
    <row r="32" spans="1:13" s="3" customFormat="1" ht="13.8" x14ac:dyDescent="0.3">
      <c r="A32" s="78"/>
      <c r="B32" s="71" t="s">
        <v>44</v>
      </c>
      <c r="C32" s="70" t="s">
        <v>25</v>
      </c>
      <c r="D32" s="82" t="s">
        <v>52</v>
      </c>
      <c r="E32" s="87">
        <f>E31*D32</f>
        <v>28.9</v>
      </c>
      <c r="F32" s="30"/>
      <c r="G32" s="35"/>
      <c r="H32" s="21"/>
      <c r="I32" s="59"/>
      <c r="J32" s="21"/>
      <c r="K32" s="58"/>
      <c r="L32" s="32"/>
    </row>
    <row r="33" spans="1:13" s="3" customFormat="1" ht="13.8" x14ac:dyDescent="0.3">
      <c r="A33" s="78"/>
      <c r="B33" s="71" t="s">
        <v>53</v>
      </c>
      <c r="C33" s="70" t="s">
        <v>54</v>
      </c>
      <c r="D33" s="82">
        <v>11.1</v>
      </c>
      <c r="E33" s="87">
        <f>D33*E31</f>
        <v>316.39999999999998</v>
      </c>
      <c r="F33" s="30"/>
      <c r="G33" s="58"/>
      <c r="H33" s="21"/>
      <c r="I33" s="59"/>
      <c r="J33" s="21"/>
      <c r="K33" s="58"/>
      <c r="L33" s="32"/>
    </row>
    <row r="34" spans="1:13" s="3" customFormat="1" ht="13.8" x14ac:dyDescent="0.3">
      <c r="A34" s="78"/>
      <c r="B34" s="71" t="s">
        <v>55</v>
      </c>
      <c r="C34" s="70" t="s">
        <v>51</v>
      </c>
      <c r="D34" s="82">
        <v>0.96</v>
      </c>
      <c r="E34" s="87">
        <f>E31*D34</f>
        <v>27.4</v>
      </c>
      <c r="F34" s="30"/>
      <c r="G34" s="58"/>
      <c r="H34" s="21"/>
      <c r="I34" s="59"/>
      <c r="J34" s="21"/>
      <c r="K34" s="58"/>
      <c r="L34" s="32"/>
    </row>
    <row r="35" spans="1:13" s="3" customFormat="1" ht="13.8" x14ac:dyDescent="0.3">
      <c r="A35" s="78"/>
      <c r="B35" s="71" t="s">
        <v>49</v>
      </c>
      <c r="C35" s="70" t="s">
        <v>27</v>
      </c>
      <c r="D35" s="82">
        <v>2.0499999999999998</v>
      </c>
      <c r="E35" s="87">
        <f>E31*D35</f>
        <v>58.4</v>
      </c>
      <c r="F35" s="30"/>
      <c r="G35" s="35"/>
      <c r="H35" s="21"/>
      <c r="I35" s="59"/>
      <c r="J35" s="21"/>
      <c r="K35" s="58"/>
      <c r="L35" s="32"/>
    </row>
    <row r="36" spans="1:13" s="3" customFormat="1" ht="13.8" x14ac:dyDescent="0.3">
      <c r="A36" s="78"/>
      <c r="B36" s="71" t="s">
        <v>50</v>
      </c>
      <c r="C36" s="70" t="s">
        <v>23</v>
      </c>
      <c r="D36" s="82">
        <f>(2.78/100)+0.003</f>
        <v>3.0800000000000001E-2</v>
      </c>
      <c r="E36" s="87">
        <f>D36*E31</f>
        <v>0.9</v>
      </c>
      <c r="F36" s="30"/>
      <c r="G36" s="58"/>
      <c r="H36" s="21"/>
      <c r="I36" s="59"/>
      <c r="J36" s="21"/>
      <c r="K36" s="58"/>
      <c r="L36" s="32"/>
    </row>
    <row r="37" spans="1:13" s="3" customFormat="1" ht="13.8" x14ac:dyDescent="0.3">
      <c r="A37" s="78"/>
      <c r="B37" s="71" t="s">
        <v>26</v>
      </c>
      <c r="C37" s="70" t="s">
        <v>51</v>
      </c>
      <c r="D37" s="82">
        <v>0.7</v>
      </c>
      <c r="E37" s="87">
        <f>E31*D37</f>
        <v>20</v>
      </c>
      <c r="F37" s="30"/>
      <c r="G37" s="58"/>
      <c r="H37" s="21"/>
      <c r="I37" s="59"/>
      <c r="J37" s="21"/>
      <c r="K37" s="58"/>
      <c r="L37" s="32"/>
    </row>
    <row r="38" spans="1:13" s="3" customFormat="1" ht="13.8" x14ac:dyDescent="0.3">
      <c r="A38" s="78" t="s">
        <v>42</v>
      </c>
      <c r="B38" s="76" t="s">
        <v>48</v>
      </c>
      <c r="C38" s="70" t="s">
        <v>27</v>
      </c>
      <c r="D38" s="70"/>
      <c r="E38" s="57">
        <v>600</v>
      </c>
      <c r="F38" s="30"/>
      <c r="G38" s="58"/>
      <c r="H38" s="21"/>
      <c r="I38" s="59"/>
      <c r="J38" s="21"/>
      <c r="K38" s="58"/>
      <c r="L38" s="32"/>
      <c r="M38" s="79"/>
    </row>
    <row r="39" spans="1:13" s="3" customFormat="1" ht="15.6" thickBot="1" x14ac:dyDescent="0.35">
      <c r="A39" s="33"/>
      <c r="B39" s="67"/>
      <c r="C39" s="31"/>
      <c r="D39" s="31"/>
      <c r="E39" s="31"/>
      <c r="F39" s="30"/>
      <c r="G39" s="58"/>
      <c r="H39" s="21"/>
      <c r="I39" s="59"/>
      <c r="J39" s="21"/>
      <c r="K39" s="58"/>
      <c r="L39" s="32"/>
    </row>
    <row r="40" spans="1:13" ht="13.8" thickBot="1" x14ac:dyDescent="0.35">
      <c r="A40" s="24"/>
      <c r="B40" s="61" t="s">
        <v>9</v>
      </c>
      <c r="C40" s="90"/>
      <c r="D40" s="25"/>
      <c r="E40" s="25"/>
      <c r="F40" s="38"/>
      <c r="G40" s="37">
        <f>SUM(G8:G39)</f>
        <v>0</v>
      </c>
      <c r="H40" s="37"/>
      <c r="I40" s="37">
        <f>SUM(I9:I39)</f>
        <v>0</v>
      </c>
      <c r="J40" s="37"/>
      <c r="K40" s="37">
        <f>SUM(K9:K39)</f>
        <v>0</v>
      </c>
      <c r="L40" s="39">
        <f>SUM(L9:L39)-K40</f>
        <v>0</v>
      </c>
    </row>
    <row r="41" spans="1:13" ht="15" customHeight="1" x14ac:dyDescent="0.3">
      <c r="A41" s="16"/>
      <c r="B41" s="62" t="s">
        <v>21</v>
      </c>
      <c r="C41" s="91">
        <v>0</v>
      </c>
      <c r="D41" s="18"/>
      <c r="E41" s="18"/>
      <c r="F41" s="22"/>
      <c r="G41" s="12"/>
      <c r="H41" s="13"/>
      <c r="I41" s="12"/>
      <c r="J41" s="13"/>
      <c r="K41" s="12"/>
      <c r="L41" s="40">
        <f>G40*C41</f>
        <v>0</v>
      </c>
    </row>
    <row r="42" spans="1:13" ht="15" customHeight="1" x14ac:dyDescent="0.3">
      <c r="A42" s="16"/>
      <c r="B42" s="62" t="s">
        <v>8</v>
      </c>
      <c r="C42" s="91"/>
      <c r="D42" s="18"/>
      <c r="E42" s="18"/>
      <c r="F42" s="22"/>
      <c r="G42" s="12"/>
      <c r="H42" s="13"/>
      <c r="I42" s="12"/>
      <c r="J42" s="13"/>
      <c r="K42" s="12"/>
      <c r="L42" s="40">
        <f>L40+L41</f>
        <v>0</v>
      </c>
    </row>
    <row r="43" spans="1:13" ht="15" customHeight="1" x14ac:dyDescent="0.3">
      <c r="A43" s="16"/>
      <c r="B43" s="62" t="s">
        <v>15</v>
      </c>
      <c r="C43" s="91">
        <v>0</v>
      </c>
      <c r="D43" s="18"/>
      <c r="E43" s="18"/>
      <c r="F43" s="22"/>
      <c r="G43" s="12"/>
      <c r="H43" s="13"/>
      <c r="I43" s="12"/>
      <c r="J43" s="13"/>
      <c r="K43" s="12"/>
      <c r="L43" s="40">
        <f>L42*$C$43</f>
        <v>0</v>
      </c>
    </row>
    <row r="44" spans="1:13" ht="15" customHeight="1" x14ac:dyDescent="0.3">
      <c r="A44" s="16"/>
      <c r="B44" s="62" t="s">
        <v>8</v>
      </c>
      <c r="C44" s="91"/>
      <c r="D44" s="18"/>
      <c r="E44" s="18"/>
      <c r="F44" s="22"/>
      <c r="G44" s="12"/>
      <c r="H44" s="13"/>
      <c r="I44" s="12"/>
      <c r="J44" s="13"/>
      <c r="K44" s="12"/>
      <c r="L44" s="40">
        <f>L42+L43</f>
        <v>0</v>
      </c>
    </row>
    <row r="45" spans="1:13" ht="15" customHeight="1" x14ac:dyDescent="0.3">
      <c r="A45" s="16"/>
      <c r="B45" s="62" t="s">
        <v>14</v>
      </c>
      <c r="C45" s="91">
        <v>0</v>
      </c>
      <c r="D45" s="18"/>
      <c r="E45" s="18"/>
      <c r="F45" s="22"/>
      <c r="G45" s="12"/>
      <c r="H45" s="13"/>
      <c r="I45" s="12"/>
      <c r="J45" s="13"/>
      <c r="K45" s="12"/>
      <c r="L45" s="40">
        <f>L44*$C$45</f>
        <v>0</v>
      </c>
    </row>
    <row r="46" spans="1:13" ht="15" customHeight="1" x14ac:dyDescent="0.3">
      <c r="A46" s="16"/>
      <c r="B46" s="62" t="s">
        <v>8</v>
      </c>
      <c r="C46" s="91"/>
      <c r="D46" s="18"/>
      <c r="E46" s="18"/>
      <c r="F46" s="22"/>
      <c r="G46" s="12"/>
      <c r="H46" s="13"/>
      <c r="I46" s="12"/>
      <c r="J46" s="13"/>
      <c r="K46" s="12"/>
      <c r="L46" s="40">
        <f>L44+L45+K40</f>
        <v>0</v>
      </c>
    </row>
    <row r="47" spans="1:13" ht="15" customHeight="1" thickBot="1" x14ac:dyDescent="0.35">
      <c r="A47" s="16"/>
      <c r="B47" s="63" t="s">
        <v>17</v>
      </c>
      <c r="C47" s="91">
        <v>0.18</v>
      </c>
      <c r="D47" s="18"/>
      <c r="E47" s="18"/>
      <c r="F47" s="22"/>
      <c r="G47" s="12"/>
      <c r="H47" s="13"/>
      <c r="I47" s="12"/>
      <c r="J47" s="13"/>
      <c r="K47" s="12"/>
      <c r="L47" s="40">
        <f>L46*$C$47</f>
        <v>0</v>
      </c>
    </row>
    <row r="48" spans="1:13" ht="15" customHeight="1" thickBot="1" x14ac:dyDescent="0.35">
      <c r="A48" s="17"/>
      <c r="B48" s="64" t="s">
        <v>22</v>
      </c>
      <c r="C48" s="92"/>
      <c r="D48" s="19"/>
      <c r="E48" s="19"/>
      <c r="F48" s="23"/>
      <c r="G48" s="11"/>
      <c r="H48" s="11"/>
      <c r="I48" s="11"/>
      <c r="J48" s="11"/>
      <c r="K48" s="11"/>
      <c r="L48" s="41">
        <f>SUM(L46:L47)</f>
        <v>0</v>
      </c>
    </row>
    <row r="51" spans="2:12" ht="23.4" customHeight="1" x14ac:dyDescent="0.3">
      <c r="B51" s="65"/>
      <c r="C51" s="15"/>
      <c r="D51" s="15"/>
      <c r="E51" s="15"/>
      <c r="F51" s="49"/>
      <c r="G51" s="97"/>
      <c r="H51" s="49"/>
      <c r="I51" s="98"/>
      <c r="J51" s="99"/>
      <c r="K51" s="49"/>
      <c r="L51" s="27"/>
    </row>
    <row r="52" spans="2:12" ht="13.2" x14ac:dyDescent="0.3">
      <c r="B52" s="65"/>
      <c r="C52" s="15"/>
      <c r="D52" s="15"/>
      <c r="E52" s="15"/>
      <c r="F52" s="49"/>
      <c r="G52" s="49"/>
      <c r="H52" s="49"/>
      <c r="I52" s="49"/>
      <c r="J52" s="49"/>
      <c r="K52" s="49"/>
      <c r="L52" s="27"/>
    </row>
    <row r="53" spans="2:12" ht="13.2" x14ac:dyDescent="0.3">
      <c r="B53" s="65"/>
      <c r="C53" s="15"/>
      <c r="D53" s="15"/>
      <c r="E53" s="15"/>
      <c r="F53" s="49"/>
      <c r="G53" s="49"/>
      <c r="H53" s="49"/>
      <c r="I53" s="49"/>
      <c r="J53" s="49"/>
      <c r="K53" s="49"/>
      <c r="L53" s="27"/>
    </row>
    <row r="54" spans="2:12" ht="13.2" x14ac:dyDescent="0.3">
      <c r="B54" s="65"/>
      <c r="C54" s="15"/>
      <c r="D54" s="15"/>
      <c r="E54" s="15"/>
      <c r="F54" s="49"/>
      <c r="G54" s="49"/>
      <c r="H54" s="49"/>
      <c r="I54" s="49"/>
      <c r="J54" s="49"/>
      <c r="K54" s="49"/>
      <c r="L54" s="27"/>
    </row>
    <row r="55" spans="2:12" ht="13.2" x14ac:dyDescent="0.3">
      <c r="B55" s="65"/>
      <c r="C55" s="15"/>
      <c r="D55" s="15"/>
      <c r="E55" s="15"/>
      <c r="F55" s="49"/>
      <c r="G55" s="49"/>
      <c r="H55" s="49"/>
      <c r="I55" s="49"/>
      <c r="J55" s="49"/>
      <c r="K55" s="49"/>
      <c r="L55" s="27"/>
    </row>
    <row r="56" spans="2:12" ht="13.2" x14ac:dyDescent="0.3">
      <c r="B56" s="65"/>
      <c r="C56" s="15"/>
      <c r="D56" s="15"/>
      <c r="E56" s="15"/>
      <c r="F56" s="49"/>
      <c r="G56" s="49"/>
      <c r="H56" s="49"/>
      <c r="I56" s="49"/>
      <c r="J56" s="49"/>
      <c r="K56" s="49"/>
      <c r="L56" s="27"/>
    </row>
  </sheetData>
  <mergeCells count="10">
    <mergeCell ref="A1:B1"/>
    <mergeCell ref="A3:A5"/>
    <mergeCell ref="B3:B5"/>
    <mergeCell ref="C3:C5"/>
    <mergeCell ref="L3:L5"/>
    <mergeCell ref="D4:D5"/>
    <mergeCell ref="F3:G4"/>
    <mergeCell ref="H3:I4"/>
    <mergeCell ref="J3:K4"/>
    <mergeCell ref="E3:E5"/>
  </mergeCells>
  <pageMargins left="0.31496062992126" right="0.31496062992126" top="0.35433070866141703" bottom="0.15748031496063" header="0.31496062992126" footer="0.31496062992126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147F-4F19-44C1-8799-265870A7AFB8}">
  <dimension ref="A3:H21"/>
  <sheetViews>
    <sheetView workbookViewId="0">
      <selection activeCell="C16" sqref="C16"/>
    </sheetView>
  </sheetViews>
  <sheetFormatPr defaultRowHeight="14.4" x14ac:dyDescent="0.3"/>
  <cols>
    <col min="1" max="1" width="30.5546875" customWidth="1"/>
    <col min="3" max="3" width="9.109375" bestFit="1" customWidth="1"/>
    <col min="6" max="7" width="9.109375" bestFit="1" customWidth="1"/>
  </cols>
  <sheetData>
    <row r="3" spans="1:8" x14ac:dyDescent="0.3">
      <c r="A3" t="s">
        <v>62</v>
      </c>
      <c r="B3" t="s">
        <v>23</v>
      </c>
      <c r="C3" s="93">
        <f>30.92*8*0.3</f>
        <v>74.209999999999994</v>
      </c>
      <c r="D3" s="93">
        <f>(0.9*30.92*8)/2</f>
        <v>111.31</v>
      </c>
      <c r="E3" s="95">
        <f>D3+C3</f>
        <v>185.52</v>
      </c>
      <c r="F3" s="94"/>
      <c r="G3" s="94"/>
    </row>
    <row r="4" spans="1:8" x14ac:dyDescent="0.3">
      <c r="A4" t="s">
        <v>63</v>
      </c>
      <c r="B4" t="s">
        <v>23</v>
      </c>
      <c r="C4" s="94">
        <f>5.5*8*0.4</f>
        <v>17.600000000000001</v>
      </c>
      <c r="D4" s="94">
        <f>(0.9*8/2)*0.4</f>
        <v>1.44</v>
      </c>
      <c r="E4" s="95">
        <f>C4+D4</f>
        <v>19.04</v>
      </c>
      <c r="F4" s="94"/>
      <c r="G4" s="94"/>
    </row>
    <row r="5" spans="1:8" x14ac:dyDescent="0.3">
      <c r="A5" t="s">
        <v>64</v>
      </c>
      <c r="B5" t="s">
        <v>23</v>
      </c>
      <c r="C5" s="94">
        <f>(5.5+0.9)*8</f>
        <v>51.2</v>
      </c>
      <c r="D5" s="94">
        <f>(0.9*8)/2</f>
        <v>3.6</v>
      </c>
      <c r="E5" s="94">
        <f>C5-D5</f>
        <v>47.6</v>
      </c>
      <c r="F5" s="94">
        <f>E5/2</f>
        <v>23.8</v>
      </c>
      <c r="G5" s="95">
        <f>F5*0.4</f>
        <v>9.52</v>
      </c>
      <c r="H5" s="95">
        <f>G5*8</f>
        <v>76.16</v>
      </c>
    </row>
    <row r="6" spans="1:8" x14ac:dyDescent="0.3">
      <c r="C6" s="94"/>
      <c r="D6" s="94"/>
      <c r="E6" s="94"/>
      <c r="F6" s="94"/>
      <c r="G6" s="94"/>
    </row>
    <row r="7" spans="1:8" x14ac:dyDescent="0.3">
      <c r="A7" t="s">
        <v>65</v>
      </c>
      <c r="B7" t="s">
        <v>23</v>
      </c>
      <c r="C7" s="95">
        <f>8*0.85*13.6+6.7*0.85*17.32</f>
        <v>191.12</v>
      </c>
      <c r="D7" s="94"/>
      <c r="E7" s="94"/>
      <c r="F7" s="94"/>
      <c r="G7" s="94"/>
    </row>
    <row r="8" spans="1:8" x14ac:dyDescent="0.3">
      <c r="A8" t="s">
        <v>66</v>
      </c>
      <c r="B8" t="s">
        <v>23</v>
      </c>
      <c r="C8" s="95">
        <f>1.15*0.8*30.92</f>
        <v>28.45</v>
      </c>
      <c r="D8" s="94"/>
      <c r="E8" s="94"/>
      <c r="F8" s="94"/>
      <c r="G8" s="94"/>
    </row>
    <row r="9" spans="1:8" x14ac:dyDescent="0.3">
      <c r="C9" s="94"/>
      <c r="D9" s="94"/>
      <c r="E9" s="94"/>
      <c r="F9" s="94"/>
      <c r="G9" s="94"/>
    </row>
    <row r="10" spans="1:8" x14ac:dyDescent="0.3">
      <c r="C10" s="94"/>
      <c r="D10" s="94"/>
      <c r="E10" s="94"/>
      <c r="F10" s="94"/>
      <c r="G10" s="94"/>
    </row>
    <row r="11" spans="1:8" x14ac:dyDescent="0.3">
      <c r="C11" s="94"/>
      <c r="D11" s="94"/>
      <c r="E11" s="94"/>
      <c r="F11" s="94"/>
      <c r="G11" s="94"/>
    </row>
    <row r="12" spans="1:8" x14ac:dyDescent="0.3">
      <c r="A12" s="76" t="s">
        <v>40</v>
      </c>
      <c r="B12" t="s">
        <v>23</v>
      </c>
      <c r="C12" s="94">
        <f>5.5*8*30.92</f>
        <v>1360.48</v>
      </c>
      <c r="D12" s="94">
        <f>(5*8*30.92)/2</f>
        <v>618.4</v>
      </c>
      <c r="E12" s="94">
        <f>(0.9*8*30.92)/2</f>
        <v>111.31</v>
      </c>
      <c r="F12" s="94">
        <f>C12+D12+E12</f>
        <v>2090.19</v>
      </c>
      <c r="G12" s="95">
        <f>F12-H5-E4</f>
        <v>1994.99</v>
      </c>
    </row>
    <row r="13" spans="1:8" x14ac:dyDescent="0.3">
      <c r="C13" s="94"/>
      <c r="D13" s="94"/>
      <c r="E13" s="94"/>
      <c r="F13" s="94"/>
      <c r="G13" s="94"/>
    </row>
    <row r="14" spans="1:8" x14ac:dyDescent="0.3">
      <c r="C14" s="94"/>
      <c r="D14" s="94"/>
      <c r="E14" s="94"/>
      <c r="F14" s="94"/>
      <c r="G14" s="94"/>
    </row>
    <row r="15" spans="1:8" x14ac:dyDescent="0.3">
      <c r="C15" s="94"/>
      <c r="D15" s="94"/>
      <c r="E15" s="94"/>
      <c r="F15" s="94"/>
      <c r="G15" s="94"/>
    </row>
    <row r="16" spans="1:8" x14ac:dyDescent="0.3">
      <c r="C16" s="94"/>
      <c r="D16" s="94"/>
      <c r="E16" s="94"/>
      <c r="F16" s="94"/>
      <c r="G16" s="94"/>
    </row>
    <row r="17" spans="2:7" x14ac:dyDescent="0.3">
      <c r="C17" s="94"/>
      <c r="D17" s="94"/>
      <c r="E17" s="94"/>
      <c r="F17" s="94"/>
      <c r="G17" s="94"/>
    </row>
    <row r="18" spans="2:7" x14ac:dyDescent="0.3">
      <c r="C18" s="94"/>
      <c r="D18" s="94"/>
      <c r="E18" s="94"/>
      <c r="F18" s="94"/>
      <c r="G18" s="94"/>
    </row>
    <row r="19" spans="2:7" x14ac:dyDescent="0.3">
      <c r="C19" s="93"/>
      <c r="D19" s="93"/>
      <c r="E19" s="93"/>
    </row>
    <row r="20" spans="2:7" x14ac:dyDescent="0.3">
      <c r="B20" s="94"/>
      <c r="C20" s="94"/>
      <c r="D20" s="94"/>
      <c r="E20" s="94"/>
    </row>
    <row r="21" spans="2:7" x14ac:dyDescent="0.3">
      <c r="B21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ხარჯთაღრიცხვა</vt:lpstr>
      <vt:lpstr>სამუშაოს და მასალათა მოცულობა</vt:lpstr>
      <vt:lpstr>მოცულობა</vt:lpstr>
      <vt:lpstr>'სამუშაოს და მასალათა მოცულობა'!Print_Area</vt:lpstr>
      <vt:lpstr>ხარჯთაღრიცხვა!Print_Area</vt:lpstr>
      <vt:lpstr>'სამუშაოს და მასალათა მოცულობა'!Print_Titles</vt:lpstr>
      <vt:lpstr>ხარჯთაღრიცხვა!Print_Titles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2021-07-17T07:46:59Z</dcterms:modified>
</cp:coreProperties>
</file>